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slicers/slicer2.xml" ContentType="application/vnd.ms-excel.slicer+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slicers/slicer3.xml" ContentType="application/vnd.ms-excel.slicer+xml"/>
  <Override PartName="/xl/drawings/drawing5.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slicers/slicer4.xml" ContentType="application/vnd.ms-excel.slicer+xml"/>
  <Override PartName="/xl/comments1.xml" ContentType="application/vnd.openxmlformats-officedocument.spreadsheetml.comments+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codeName="ThisWorkbook"/>
  <mc:AlternateContent xmlns:mc="http://schemas.openxmlformats.org/markup-compatibility/2006">
    <mc:Choice Requires="x15">
      <x15ac:absPath xmlns:x15ac="http://schemas.microsoft.com/office/spreadsheetml/2010/11/ac" url="/Users/dalrymple/Downloads/"/>
    </mc:Choice>
  </mc:AlternateContent>
  <xr:revisionPtr revIDLastSave="0" documentId="13_ncr:1_{BCA87867-82B3-D740-BB6F-F4B4F4433CF0}" xr6:coauthVersionLast="47" xr6:coauthVersionMax="47" xr10:uidLastSave="{00000000-0000-0000-0000-000000000000}"/>
  <bookViews>
    <workbookView xWindow="3280" yWindow="600" windowWidth="35120" windowHeight="21000" xr2:uid="{21399FAA-B764-496C-B014-3D66DFFD433E}"/>
  </bookViews>
  <sheets>
    <sheet name="Guidance" sheetId="133" r:id="rId1"/>
    <sheet name="National Water" sheetId="181" r:id="rId2"/>
    <sheet name="National S&amp;H" sheetId="189" r:id="rId3"/>
    <sheet name="National HCF" sheetId="190" r:id="rId4"/>
    <sheet name="District 1" sheetId="191" r:id="rId5"/>
    <sheet name="BB Dashboard" sheetId="155" r:id="rId6"/>
    <sheet name="Print National Water" sheetId="160" state="hidden" r:id="rId7"/>
    <sheet name="Print National Sanitation" sheetId="169" state="hidden" r:id="rId8"/>
    <sheet name="Print National HCF" sheetId="171" state="hidden" r:id="rId9"/>
    <sheet name="Print District" sheetId="172" state="hidden" r:id="rId10"/>
  </sheets>
  <definedNames>
    <definedName name="_xlnm._FilterDatabase" localSheetId="4" hidden="1">'District 1'!$K$5:$R$5</definedName>
    <definedName name="_xlnm._FilterDatabase" localSheetId="3" hidden="1">'National HCF'!$J$5:$Q$5</definedName>
    <definedName name="_xlnm._FilterDatabase" localSheetId="2" hidden="1">'National S&amp;H'!$J$5:$Q$5</definedName>
    <definedName name="_xlnm._FilterDatabase" localSheetId="1" hidden="1">'National Water'!$J$5:$Q$5</definedName>
    <definedName name="_xlnm._FilterDatabase" localSheetId="9" hidden="1">'Print District'!$A$2:$D$74</definedName>
    <definedName name="_xlnm._FilterDatabase" localSheetId="8" hidden="1">'Print National HCF'!$A$2:$D$72</definedName>
    <definedName name="_xlnm._FilterDatabase" localSheetId="7" hidden="1">'Print National Sanitation'!$A$2:$D$72</definedName>
    <definedName name="_xlnm._FilterDatabase" localSheetId="6" hidden="1">'Print National Water'!$A$2:$D$72</definedName>
    <definedName name="category">Guidance!$B$65:$B$69</definedName>
    <definedName name="Outcome">" "</definedName>
    <definedName name="_xlnm.Print_Area" localSheetId="5">'BB Dashboard'!$A$2:$M$94</definedName>
    <definedName name="_xlnm.Print_Area" localSheetId="4">'District 1'!$K$1:$X$74</definedName>
    <definedName name="_xlnm.Print_Area" localSheetId="0">Guidance!$A$1:$D$62</definedName>
    <definedName name="_xlnm.Print_Area" localSheetId="3">'National HCF'!$J$1:$W$73</definedName>
    <definedName name="_xlnm.Print_Area" localSheetId="2">'National S&amp;H'!$J$1:$W$72</definedName>
    <definedName name="_xlnm.Print_Area" localSheetId="1">'National Water'!$J$1:$W$73</definedName>
    <definedName name="_xlnm.Print_Area" localSheetId="9">'Print District'!$A$1:$D$77</definedName>
    <definedName name="_xlnm.Print_Area" localSheetId="8">'Print National HCF'!$A$1:$D$74</definedName>
    <definedName name="_xlnm.Print_Area" localSheetId="7">'Print National Sanitation'!$A$1:$D$74</definedName>
    <definedName name="_xlnm.Print_Area" localSheetId="6">'Print National Water'!$A$1:$D$74</definedName>
    <definedName name="_xlnm.Print_Titles" localSheetId="4">'District 1'!$5:$5</definedName>
    <definedName name="_xlnm.Print_Titles" localSheetId="3">'National HCF'!$5:$5</definedName>
    <definedName name="_xlnm.Print_Titles" localSheetId="2">'National S&amp;H'!$5:$5</definedName>
    <definedName name="_xlnm.Print_Titles" localSheetId="1">'National Water'!$5:$5</definedName>
    <definedName name="_xlnm.Print_Titles" localSheetId="9">'Print District'!$1:$2</definedName>
    <definedName name="_xlnm.Print_Titles" localSheetId="8">'Print National HCF'!$1:$2</definedName>
    <definedName name="_xlnm.Print_Titles" localSheetId="7">'Print National Sanitation'!$1:$2</definedName>
    <definedName name="_xlnm.Print_Titles" localSheetId="6">'Print National Water'!$1:$2</definedName>
    <definedName name="Slicer_Source">#N/A</definedName>
    <definedName name="Slicer_Source1">#N/A</definedName>
    <definedName name="Slicer_Source2">#N/A</definedName>
    <definedName name="Slicer_Source3">#N/A</definedName>
    <definedName name="Year">Guidance!$E$6</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1"/>
        <x14:slicerCache r:id="rId12"/>
        <x14:slicerCache r:id="rId13"/>
        <x14:slicerCache r:id="rId1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7" i="172" l="1"/>
  <c r="C76" i="172"/>
  <c r="C75" i="172"/>
  <c r="C74" i="172"/>
  <c r="C73" i="172"/>
  <c r="C72" i="172"/>
  <c r="C71" i="172"/>
  <c r="C70" i="172"/>
  <c r="C69" i="172"/>
  <c r="C68" i="172"/>
  <c r="C67" i="172"/>
  <c r="C66" i="172"/>
  <c r="C65" i="172"/>
  <c r="C64" i="172"/>
  <c r="C63" i="172"/>
  <c r="C62" i="172"/>
  <c r="C61" i="172"/>
  <c r="C60" i="172"/>
  <c r="C59" i="172"/>
  <c r="C58" i="172"/>
  <c r="C57" i="172"/>
  <c r="C56" i="172"/>
  <c r="C55" i="172"/>
  <c r="C54" i="172"/>
  <c r="C53" i="172"/>
  <c r="C52" i="172"/>
  <c r="C51" i="172"/>
  <c r="C50" i="172"/>
  <c r="C49" i="172"/>
  <c r="C48" i="172"/>
  <c r="C47" i="172"/>
  <c r="C46" i="172"/>
  <c r="C45" i="172"/>
  <c r="C44" i="172"/>
  <c r="C43" i="172"/>
  <c r="C42" i="172"/>
  <c r="C41" i="172"/>
  <c r="C40" i="172"/>
  <c r="C39" i="172"/>
  <c r="C38" i="172"/>
  <c r="C37" i="172"/>
  <c r="C36" i="172"/>
  <c r="C35" i="172"/>
  <c r="C34" i="172"/>
  <c r="C33" i="172"/>
  <c r="C32" i="172"/>
  <c r="C31" i="172"/>
  <c r="C30" i="172"/>
  <c r="C29" i="172"/>
  <c r="C28" i="172"/>
  <c r="C27" i="172"/>
  <c r="C26" i="172"/>
  <c r="C25" i="172"/>
  <c r="C24" i="172"/>
  <c r="C23" i="172"/>
  <c r="C22" i="172"/>
  <c r="C21" i="172"/>
  <c r="C20" i="172"/>
  <c r="C19" i="172"/>
  <c r="C18" i="172"/>
  <c r="C17" i="172"/>
  <c r="C16" i="172"/>
  <c r="C15" i="172"/>
  <c r="C14" i="172"/>
  <c r="C13" i="172"/>
  <c r="C12" i="172"/>
  <c r="C11" i="172"/>
  <c r="C10" i="172"/>
  <c r="C9" i="172"/>
  <c r="C8" i="172"/>
  <c r="C7" i="172"/>
  <c r="C6" i="172"/>
  <c r="C5" i="172"/>
  <c r="C4" i="172"/>
  <c r="C3" i="172"/>
  <c r="C70" i="171"/>
  <c r="C69" i="171"/>
  <c r="C68" i="171"/>
  <c r="C67" i="171"/>
  <c r="C66" i="171"/>
  <c r="C65" i="171"/>
  <c r="C64" i="171"/>
  <c r="C63" i="171"/>
  <c r="C62" i="171"/>
  <c r="C61" i="171"/>
  <c r="C60" i="171"/>
  <c r="C59" i="171"/>
  <c r="C58" i="171"/>
  <c r="C57" i="171"/>
  <c r="C56" i="171"/>
  <c r="C55" i="171"/>
  <c r="C54" i="171"/>
  <c r="C53" i="171"/>
  <c r="C52" i="171"/>
  <c r="C51" i="171"/>
  <c r="C50" i="171"/>
  <c r="C49" i="171"/>
  <c r="C48" i="171"/>
  <c r="C47" i="171"/>
  <c r="C46" i="171"/>
  <c r="C45" i="171"/>
  <c r="C44" i="171"/>
  <c r="C43" i="171"/>
  <c r="C42" i="171"/>
  <c r="C41" i="171"/>
  <c r="C40" i="171"/>
  <c r="C39" i="171"/>
  <c r="C38" i="171"/>
  <c r="C37" i="171"/>
  <c r="C36" i="171"/>
  <c r="C35" i="171"/>
  <c r="C34" i="171"/>
  <c r="C33" i="171"/>
  <c r="C32" i="171"/>
  <c r="C31" i="171"/>
  <c r="C30" i="171"/>
  <c r="C29" i="171"/>
  <c r="C28" i="171"/>
  <c r="C27" i="171"/>
  <c r="C26" i="171"/>
  <c r="C25" i="171"/>
  <c r="C24" i="171"/>
  <c r="C23" i="171"/>
  <c r="C22" i="171"/>
  <c r="C21" i="171"/>
  <c r="C20" i="171"/>
  <c r="C19" i="171"/>
  <c r="C18" i="171"/>
  <c r="C17" i="171"/>
  <c r="C16" i="171"/>
  <c r="C15" i="171"/>
  <c r="C14" i="171"/>
  <c r="C13" i="171"/>
  <c r="C12" i="171"/>
  <c r="C11" i="171"/>
  <c r="C10" i="171"/>
  <c r="C9" i="171"/>
  <c r="C8" i="171"/>
  <c r="C7" i="171"/>
  <c r="C6" i="171"/>
  <c r="C5" i="171"/>
  <c r="C4" i="171"/>
  <c r="C74" i="169"/>
  <c r="C73" i="169"/>
  <c r="C72" i="169"/>
  <c r="C71" i="169"/>
  <c r="C70" i="169"/>
  <c r="C69" i="169"/>
  <c r="C68" i="169"/>
  <c r="C67" i="169"/>
  <c r="C66" i="169"/>
  <c r="C65" i="169"/>
  <c r="C64" i="169"/>
  <c r="C63" i="169"/>
  <c r="C62" i="169"/>
  <c r="C61" i="169"/>
  <c r="C60" i="169"/>
  <c r="C59" i="169"/>
  <c r="C58" i="169"/>
  <c r="C57" i="169"/>
  <c r="C56" i="169"/>
  <c r="C55" i="169"/>
  <c r="C54" i="169"/>
  <c r="C53" i="169"/>
  <c r="C52" i="169"/>
  <c r="C51" i="169"/>
  <c r="C50" i="169"/>
  <c r="C49" i="169"/>
  <c r="C48" i="169"/>
  <c r="C47" i="169"/>
  <c r="C46" i="169"/>
  <c r="C45" i="169"/>
  <c r="C44" i="169"/>
  <c r="C43" i="169"/>
  <c r="C42" i="169"/>
  <c r="C41" i="169"/>
  <c r="C40" i="169"/>
  <c r="C39" i="169"/>
  <c r="C38" i="169"/>
  <c r="C37" i="169"/>
  <c r="C36" i="169"/>
  <c r="C35" i="169"/>
  <c r="C34" i="169"/>
  <c r="C33" i="169"/>
  <c r="C32" i="169"/>
  <c r="C31" i="169"/>
  <c r="C30" i="169"/>
  <c r="C29" i="169"/>
  <c r="C28" i="169"/>
  <c r="C27" i="169"/>
  <c r="C26" i="169"/>
  <c r="C25" i="169"/>
  <c r="C24" i="169"/>
  <c r="C23" i="169"/>
  <c r="C22" i="169"/>
  <c r="C21" i="169"/>
  <c r="C20" i="169"/>
  <c r="C19" i="169"/>
  <c r="C18" i="169"/>
  <c r="C17" i="169"/>
  <c r="C16" i="169"/>
  <c r="C15" i="169"/>
  <c r="C14" i="169"/>
  <c r="C13" i="169"/>
  <c r="C12" i="169"/>
  <c r="C11" i="169"/>
  <c r="C10" i="169"/>
  <c r="C9" i="169"/>
  <c r="C8" i="169"/>
  <c r="C7" i="169"/>
  <c r="C6" i="169"/>
  <c r="C5" i="169"/>
  <c r="C4" i="169"/>
  <c r="C3" i="169"/>
  <c r="C3" i="171"/>
  <c r="C74" i="160"/>
  <c r="C73" i="160"/>
  <c r="C72" i="160"/>
  <c r="C71" i="160"/>
  <c r="C70" i="160"/>
  <c r="C69" i="160"/>
  <c r="C68" i="160"/>
  <c r="C67" i="160"/>
  <c r="C66" i="160"/>
  <c r="C65" i="160"/>
  <c r="C64" i="160"/>
  <c r="C63" i="160"/>
  <c r="C62" i="160"/>
  <c r="C61" i="160"/>
  <c r="C60" i="160"/>
  <c r="C59" i="160"/>
  <c r="C58" i="160"/>
  <c r="C57" i="160"/>
  <c r="C56" i="160"/>
  <c r="C55" i="160"/>
  <c r="C54" i="160"/>
  <c r="C53" i="160"/>
  <c r="C52" i="160"/>
  <c r="C51" i="160"/>
  <c r="C50" i="160"/>
  <c r="C49" i="160"/>
  <c r="C48" i="160"/>
  <c r="C47" i="160"/>
  <c r="C46" i="160"/>
  <c r="C45" i="160"/>
  <c r="C44" i="160"/>
  <c r="C43" i="160"/>
  <c r="C42" i="160"/>
  <c r="C41" i="160"/>
  <c r="C40" i="160"/>
  <c r="C39" i="160"/>
  <c r="C38" i="160"/>
  <c r="C37" i="160"/>
  <c r="C36" i="160"/>
  <c r="C35" i="160"/>
  <c r="C34" i="160"/>
  <c r="C33" i="160"/>
  <c r="C32" i="160"/>
  <c r="C31" i="160"/>
  <c r="C30" i="160"/>
  <c r="C29" i="160"/>
  <c r="C28" i="160"/>
  <c r="C27" i="160"/>
  <c r="C26" i="160"/>
  <c r="C25" i="160"/>
  <c r="C24" i="160"/>
  <c r="C23" i="160"/>
  <c r="C22" i="160"/>
  <c r="C21" i="160"/>
  <c r="C20" i="160"/>
  <c r="C19" i="160"/>
  <c r="C18" i="160"/>
  <c r="C17" i="160"/>
  <c r="C16" i="160"/>
  <c r="C15" i="160"/>
  <c r="C14" i="160"/>
  <c r="C13" i="160"/>
  <c r="C12" i="160"/>
  <c r="C11" i="160"/>
  <c r="C10" i="160"/>
  <c r="C9" i="160"/>
  <c r="C8" i="160"/>
  <c r="C7" i="160"/>
  <c r="C6" i="160"/>
  <c r="C5" i="160"/>
  <c r="C4" i="160"/>
  <c r="C3" i="160"/>
  <c r="C6" i="191"/>
  <c r="C7" i="191"/>
  <c r="C8" i="191"/>
  <c r="C9" i="191"/>
  <c r="C10" i="191"/>
  <c r="C11" i="191"/>
  <c r="C12" i="191"/>
  <c r="C13" i="191"/>
  <c r="C14" i="191"/>
  <c r="C15" i="191"/>
  <c r="C16" i="191"/>
  <c r="C17" i="191"/>
  <c r="C18" i="191"/>
  <c r="C19" i="191"/>
  <c r="C20" i="191"/>
  <c r="C21" i="191"/>
  <c r="C22" i="191"/>
  <c r="C23" i="191"/>
  <c r="C24" i="191"/>
  <c r="C25" i="191"/>
  <c r="C26" i="191"/>
  <c r="C27" i="191"/>
  <c r="C28" i="191"/>
  <c r="C29" i="191"/>
  <c r="C30" i="191"/>
  <c r="C31" i="191"/>
  <c r="C32" i="191"/>
  <c r="C33" i="191"/>
  <c r="C34" i="191"/>
  <c r="C35" i="191"/>
  <c r="C36" i="191"/>
  <c r="C37" i="191"/>
  <c r="C38" i="191"/>
  <c r="C39" i="191"/>
  <c r="C40" i="191"/>
  <c r="C41" i="191"/>
  <c r="C42" i="191"/>
  <c r="C43" i="191"/>
  <c r="C44" i="191"/>
  <c r="C45" i="191"/>
  <c r="C46" i="191"/>
  <c r="C47" i="191"/>
  <c r="C48" i="191"/>
  <c r="C49" i="191"/>
  <c r="C50" i="191"/>
  <c r="C51" i="191"/>
  <c r="C52" i="191"/>
  <c r="C53" i="191"/>
  <c r="C54" i="191"/>
  <c r="C55" i="191"/>
  <c r="C56" i="191"/>
  <c r="C57" i="191"/>
  <c r="C58" i="191"/>
  <c r="C59" i="191"/>
  <c r="C60" i="191"/>
  <c r="C61" i="191"/>
  <c r="C62" i="191"/>
  <c r="C63" i="191"/>
  <c r="C64" i="191"/>
  <c r="C65" i="191"/>
  <c r="C66" i="191"/>
  <c r="C67" i="191"/>
  <c r="C68" i="191"/>
  <c r="C69" i="191"/>
  <c r="C70" i="191"/>
  <c r="C71" i="191"/>
  <c r="C72" i="191"/>
  <c r="C73" i="191"/>
  <c r="C74" i="191"/>
  <c r="B6" i="190"/>
  <c r="B7" i="190"/>
  <c r="B8" i="190"/>
  <c r="B9" i="190"/>
  <c r="B10" i="190"/>
  <c r="B11" i="190"/>
  <c r="B12" i="190"/>
  <c r="B13" i="190"/>
  <c r="B14" i="190"/>
  <c r="B15" i="190"/>
  <c r="B16" i="190"/>
  <c r="B17" i="190"/>
  <c r="B18" i="190"/>
  <c r="B19" i="190"/>
  <c r="B20" i="190"/>
  <c r="B21" i="190"/>
  <c r="B22" i="190"/>
  <c r="B23" i="190"/>
  <c r="B24" i="190"/>
  <c r="B25" i="190"/>
  <c r="B26" i="190"/>
  <c r="B27" i="190"/>
  <c r="B28" i="190"/>
  <c r="B29" i="190"/>
  <c r="B30" i="190"/>
  <c r="B31" i="190"/>
  <c r="B32" i="190"/>
  <c r="B33" i="190"/>
  <c r="B34" i="190"/>
  <c r="B35" i="190"/>
  <c r="B36" i="190"/>
  <c r="B37" i="190"/>
  <c r="B38" i="190"/>
  <c r="B39" i="190"/>
  <c r="B40" i="190"/>
  <c r="B41" i="190"/>
  <c r="B42" i="190"/>
  <c r="B43" i="190"/>
  <c r="B44" i="190"/>
  <c r="B45" i="190"/>
  <c r="B46" i="190"/>
  <c r="B47" i="190"/>
  <c r="B48" i="190"/>
  <c r="B49" i="190"/>
  <c r="B50" i="190"/>
  <c r="B51" i="190"/>
  <c r="B52" i="190"/>
  <c r="B53" i="190"/>
  <c r="B54" i="190"/>
  <c r="B55" i="190"/>
  <c r="B56" i="190"/>
  <c r="B57" i="190"/>
  <c r="B58" i="190"/>
  <c r="B59" i="190"/>
  <c r="B60" i="190"/>
  <c r="B6" i="189"/>
  <c r="B7" i="189"/>
  <c r="B8" i="189"/>
  <c r="B9" i="189"/>
  <c r="B10" i="189"/>
  <c r="B11" i="189"/>
  <c r="B12" i="189"/>
  <c r="B13" i="189"/>
  <c r="B14" i="189"/>
  <c r="B15" i="189"/>
  <c r="B16" i="189"/>
  <c r="B17" i="189"/>
  <c r="B18" i="189"/>
  <c r="B19" i="189"/>
  <c r="B20" i="189"/>
  <c r="B21" i="189"/>
  <c r="B22" i="189"/>
  <c r="B23" i="189"/>
  <c r="B24" i="189"/>
  <c r="B25" i="189"/>
  <c r="B26" i="189"/>
  <c r="B27" i="189"/>
  <c r="B28" i="189"/>
  <c r="B29" i="189"/>
  <c r="B30" i="189"/>
  <c r="B31" i="189"/>
  <c r="B32" i="189"/>
  <c r="B33" i="189"/>
  <c r="B34" i="189"/>
  <c r="B35" i="189"/>
  <c r="B36" i="189"/>
  <c r="B37" i="189"/>
  <c r="B38" i="189"/>
  <c r="B39" i="189"/>
  <c r="B40" i="189"/>
  <c r="B41" i="189"/>
  <c r="B42" i="189"/>
  <c r="B43" i="189"/>
  <c r="B44" i="189"/>
  <c r="B45" i="189"/>
  <c r="B46" i="189"/>
  <c r="B47" i="189"/>
  <c r="B48" i="189"/>
  <c r="B49" i="189"/>
  <c r="B50" i="189"/>
  <c r="B51" i="189"/>
  <c r="B52" i="189"/>
  <c r="B53" i="189"/>
  <c r="B54" i="189"/>
  <c r="B55" i="189"/>
  <c r="B56" i="189"/>
  <c r="B57" i="189"/>
  <c r="B58" i="189"/>
  <c r="B59" i="189"/>
  <c r="B60" i="189"/>
  <c r="B61" i="189"/>
  <c r="B62" i="189"/>
  <c r="B63" i="189"/>
  <c r="B64" i="189"/>
  <c r="B65" i="189"/>
  <c r="B66" i="189"/>
  <c r="B67" i="189"/>
  <c r="B68" i="189"/>
  <c r="B69" i="189"/>
  <c r="B70" i="189"/>
  <c r="B71" i="189"/>
  <c r="B72" i="189"/>
  <c r="B6" i="181"/>
  <c r="B7" i="181"/>
  <c r="B8" i="181"/>
  <c r="B9" i="181"/>
  <c r="B10" i="181"/>
  <c r="B11" i="181"/>
  <c r="B12" i="181"/>
  <c r="B13" i="181"/>
  <c r="B14" i="181"/>
  <c r="B15" i="181"/>
  <c r="B16" i="181"/>
  <c r="B17" i="181"/>
  <c r="B18" i="181"/>
  <c r="B19" i="181"/>
  <c r="B20" i="181"/>
  <c r="B21" i="181"/>
  <c r="B22" i="181"/>
  <c r="B23" i="181"/>
  <c r="B24" i="181"/>
  <c r="B25" i="181"/>
  <c r="B26" i="181"/>
  <c r="B27" i="181"/>
  <c r="B28" i="181"/>
  <c r="B29" i="181"/>
  <c r="B30" i="181"/>
  <c r="B31" i="181"/>
  <c r="B32" i="181"/>
  <c r="B33" i="181"/>
  <c r="B34" i="181"/>
  <c r="B35" i="181"/>
  <c r="B36" i="181"/>
  <c r="B37" i="181"/>
  <c r="B38" i="181"/>
  <c r="B39" i="181"/>
  <c r="B40" i="181"/>
  <c r="B41" i="181"/>
  <c r="B42" i="181"/>
  <c r="B43" i="181"/>
  <c r="B44" i="181"/>
  <c r="B45" i="181"/>
  <c r="B46" i="181"/>
  <c r="B47" i="181"/>
  <c r="B48" i="181"/>
  <c r="B49" i="181"/>
  <c r="B50" i="181"/>
  <c r="B51" i="181"/>
  <c r="B52" i="181"/>
  <c r="B53" i="181"/>
  <c r="B54" i="181"/>
  <c r="B55" i="181"/>
  <c r="B56" i="181"/>
  <c r="B57" i="181"/>
  <c r="B58" i="181"/>
  <c r="B59" i="181"/>
  <c r="B60" i="181"/>
  <c r="B61" i="181"/>
  <c r="B62" i="181"/>
  <c r="B63" i="181"/>
  <c r="B64" i="181"/>
  <c r="B65" i="181"/>
  <c r="B66" i="181"/>
  <c r="B67" i="181"/>
  <c r="B68" i="181"/>
  <c r="B69" i="181"/>
  <c r="B70" i="181"/>
  <c r="B71" i="181"/>
  <c r="B72" i="181"/>
  <c r="B73" i="181"/>
  <c r="G26" i="155"/>
  <c r="F26" i="155"/>
  <c r="E26" i="155"/>
  <c r="D26" i="155"/>
  <c r="G7" i="155"/>
  <c r="T10" i="181"/>
  <c r="T11" i="181"/>
  <c r="T18" i="181"/>
  <c r="S7" i="181"/>
  <c r="S8" i="181"/>
  <c r="S9" i="181"/>
  <c r="S10" i="181"/>
  <c r="S11" i="181"/>
  <c r="S12" i="181"/>
  <c r="S13" i="181"/>
  <c r="S14" i="181"/>
  <c r="S15" i="181"/>
  <c r="S16" i="181"/>
  <c r="S17" i="181"/>
  <c r="S18" i="181"/>
  <c r="S6" i="181"/>
  <c r="T9" i="189"/>
  <c r="T17" i="189"/>
  <c r="S7" i="189"/>
  <c r="S8" i="189"/>
  <c r="S9" i="189"/>
  <c r="S10" i="189"/>
  <c r="S11" i="189"/>
  <c r="S12" i="189"/>
  <c r="S13" i="189"/>
  <c r="S14" i="189"/>
  <c r="S15" i="189"/>
  <c r="S16" i="189"/>
  <c r="S17" i="189"/>
  <c r="S18" i="189"/>
  <c r="S6" i="189"/>
  <c r="Q69" i="191"/>
  <c r="Q70" i="191"/>
  <c r="Q71" i="191"/>
  <c r="J71" i="191"/>
  <c r="B71" i="191"/>
  <c r="A71" i="191"/>
  <c r="J70" i="191"/>
  <c r="B70" i="191"/>
  <c r="A70" i="191"/>
  <c r="Q54" i="191"/>
  <c r="J54" i="191"/>
  <c r="B54" i="191"/>
  <c r="A54" i="191"/>
  <c r="A53" i="191"/>
  <c r="B53" i="191"/>
  <c r="J53" i="191"/>
  <c r="Q53" i="191"/>
  <c r="Q13" i="191"/>
  <c r="J13" i="191"/>
  <c r="B13" i="191"/>
  <c r="A13" i="191"/>
  <c r="Q12" i="191"/>
  <c r="J12" i="191"/>
  <c r="B12" i="191"/>
  <c r="A12" i="191"/>
  <c r="M1" i="191"/>
  <c r="U11" i="191" s="1"/>
  <c r="AE8" i="191"/>
  <c r="AE9" i="191"/>
  <c r="AE10" i="191"/>
  <c r="AE11" i="191"/>
  <c r="AE7" i="191"/>
  <c r="A6" i="191"/>
  <c r="A7" i="191"/>
  <c r="A8" i="191"/>
  <c r="A9" i="191"/>
  <c r="A10" i="191"/>
  <c r="A11" i="191"/>
  <c r="A14" i="191"/>
  <c r="A15" i="191"/>
  <c r="A16" i="191"/>
  <c r="A17" i="191"/>
  <c r="A18" i="191"/>
  <c r="A19" i="191"/>
  <c r="A20" i="191"/>
  <c r="A21" i="191"/>
  <c r="A22" i="191"/>
  <c r="A23" i="191"/>
  <c r="A24" i="191"/>
  <c r="A25" i="191"/>
  <c r="A26" i="191"/>
  <c r="A27" i="191"/>
  <c r="A28" i="191"/>
  <c r="A29" i="191"/>
  <c r="A30" i="191"/>
  <c r="A31" i="191"/>
  <c r="A32" i="191"/>
  <c r="A33" i="191"/>
  <c r="A34" i="191"/>
  <c r="A35" i="191"/>
  <c r="A36" i="191"/>
  <c r="A37" i="191"/>
  <c r="A38" i="191"/>
  <c r="A39" i="191"/>
  <c r="A40" i="191"/>
  <c r="A41" i="191"/>
  <c r="A42" i="191"/>
  <c r="A43" i="191"/>
  <c r="A44" i="191"/>
  <c r="A45" i="191"/>
  <c r="A46" i="191"/>
  <c r="A47" i="191"/>
  <c r="A48" i="191"/>
  <c r="A49" i="191"/>
  <c r="A50" i="191"/>
  <c r="A51" i="191"/>
  <c r="A52" i="191"/>
  <c r="A55" i="191"/>
  <c r="A56" i="191"/>
  <c r="A57" i="191"/>
  <c r="A58" i="191"/>
  <c r="A59" i="191"/>
  <c r="A60" i="191"/>
  <c r="A61" i="191"/>
  <c r="A62" i="191"/>
  <c r="A63" i="191"/>
  <c r="A64" i="191"/>
  <c r="A65" i="191"/>
  <c r="A66" i="191"/>
  <c r="A67" i="191"/>
  <c r="A68" i="191"/>
  <c r="A69" i="191"/>
  <c r="A72" i="191"/>
  <c r="A73" i="191"/>
  <c r="A74" i="191"/>
  <c r="B6" i="191"/>
  <c r="B7" i="191"/>
  <c r="B8" i="191"/>
  <c r="B9" i="191"/>
  <c r="B10" i="191"/>
  <c r="B11" i="191"/>
  <c r="B14" i="191"/>
  <c r="B15" i="191"/>
  <c r="B16" i="191"/>
  <c r="B17" i="191"/>
  <c r="B18" i="191"/>
  <c r="B19" i="191"/>
  <c r="B20" i="191"/>
  <c r="B21" i="191"/>
  <c r="B22" i="191"/>
  <c r="B23" i="191"/>
  <c r="B24" i="191"/>
  <c r="B25" i="191"/>
  <c r="B26" i="191"/>
  <c r="B27" i="191"/>
  <c r="B28" i="191"/>
  <c r="B29" i="191"/>
  <c r="B30" i="191"/>
  <c r="B31" i="191"/>
  <c r="B32" i="191"/>
  <c r="B33" i="191"/>
  <c r="B34" i="191"/>
  <c r="B35" i="191"/>
  <c r="B36" i="191"/>
  <c r="B37" i="191"/>
  <c r="B38" i="191"/>
  <c r="B39" i="191"/>
  <c r="B40" i="191"/>
  <c r="B41" i="191"/>
  <c r="B42" i="191"/>
  <c r="B43" i="191"/>
  <c r="B44" i="191"/>
  <c r="B45" i="191"/>
  <c r="B46" i="191"/>
  <c r="B47" i="191"/>
  <c r="B48" i="191"/>
  <c r="B49" i="191"/>
  <c r="B50" i="191"/>
  <c r="B51" i="191"/>
  <c r="B52" i="191"/>
  <c r="B55" i="191"/>
  <c r="B56" i="191"/>
  <c r="B57" i="191"/>
  <c r="B58" i="191"/>
  <c r="B59" i="191"/>
  <c r="B60" i="191"/>
  <c r="B61" i="191"/>
  <c r="B62" i="191"/>
  <c r="B63" i="191"/>
  <c r="B64" i="191"/>
  <c r="B65" i="191"/>
  <c r="B66" i="191"/>
  <c r="B67" i="191"/>
  <c r="B68" i="191"/>
  <c r="B69" i="191"/>
  <c r="B72" i="191"/>
  <c r="B73" i="191"/>
  <c r="B74" i="191"/>
  <c r="Q74" i="191"/>
  <c r="J74" i="191"/>
  <c r="Q73" i="191"/>
  <c r="J73" i="191"/>
  <c r="Q72" i="191"/>
  <c r="J72" i="191"/>
  <c r="J69" i="191"/>
  <c r="Q68" i="191"/>
  <c r="J68" i="191"/>
  <c r="Q67" i="191"/>
  <c r="J67" i="191"/>
  <c r="Q66" i="191"/>
  <c r="J66" i="191"/>
  <c r="Q65" i="191"/>
  <c r="J65" i="191"/>
  <c r="Q64" i="191"/>
  <c r="J64" i="191"/>
  <c r="Q63" i="191"/>
  <c r="J63" i="191"/>
  <c r="Q62" i="191"/>
  <c r="J62" i="191"/>
  <c r="Q61" i="191"/>
  <c r="J61" i="191"/>
  <c r="Q60" i="191"/>
  <c r="J60" i="191"/>
  <c r="Q59" i="191"/>
  <c r="J59" i="191"/>
  <c r="Q58" i="191"/>
  <c r="J58" i="191"/>
  <c r="Q57" i="191"/>
  <c r="J57" i="191"/>
  <c r="Q56" i="191"/>
  <c r="J56" i="191"/>
  <c r="Q55" i="191"/>
  <c r="J55" i="191"/>
  <c r="Q52" i="191"/>
  <c r="J52" i="191"/>
  <c r="Q51" i="191"/>
  <c r="J51" i="191"/>
  <c r="Q50" i="191"/>
  <c r="J50" i="191"/>
  <c r="Q49" i="191"/>
  <c r="J49" i="191"/>
  <c r="Q48" i="191"/>
  <c r="J48" i="191"/>
  <c r="Q47" i="191"/>
  <c r="J47" i="191"/>
  <c r="Q46" i="191"/>
  <c r="J46" i="191"/>
  <c r="Q45" i="191"/>
  <c r="J45" i="191"/>
  <c r="Q44" i="191"/>
  <c r="J44" i="191"/>
  <c r="Q43" i="191"/>
  <c r="J43" i="191"/>
  <c r="Q42" i="191"/>
  <c r="J42" i="191"/>
  <c r="Q41" i="191"/>
  <c r="J41" i="191"/>
  <c r="Q40" i="191"/>
  <c r="J40" i="191"/>
  <c r="Q39" i="191"/>
  <c r="J39" i="191"/>
  <c r="Q38" i="191"/>
  <c r="J38" i="191"/>
  <c r="Q37" i="191"/>
  <c r="J37" i="191"/>
  <c r="Q36" i="191"/>
  <c r="J36" i="191"/>
  <c r="Q35" i="191"/>
  <c r="J35" i="191"/>
  <c r="Q34" i="191"/>
  <c r="J34" i="191"/>
  <c r="Q33" i="191"/>
  <c r="J33" i="191"/>
  <c r="Q32" i="191"/>
  <c r="J32" i="191"/>
  <c r="Q31" i="191"/>
  <c r="J31" i="191"/>
  <c r="Q30" i="191"/>
  <c r="J30" i="191"/>
  <c r="Q29" i="191"/>
  <c r="J29" i="191"/>
  <c r="Q28" i="191"/>
  <c r="J28" i="191"/>
  <c r="Q27" i="191"/>
  <c r="J27" i="191"/>
  <c r="Q26" i="191"/>
  <c r="J26" i="191"/>
  <c r="Q25" i="191"/>
  <c r="J25" i="191"/>
  <c r="Q24" i="191"/>
  <c r="J24" i="191"/>
  <c r="Q23" i="191"/>
  <c r="J23" i="191"/>
  <c r="Q22" i="191"/>
  <c r="J22" i="191"/>
  <c r="Q21" i="191"/>
  <c r="J21" i="191"/>
  <c r="Q20" i="191"/>
  <c r="J20" i="191"/>
  <c r="Q19" i="191"/>
  <c r="J19" i="191"/>
  <c r="Q18" i="191"/>
  <c r="J18" i="191"/>
  <c r="Q17" i="191"/>
  <c r="J17" i="191"/>
  <c r="Q16" i="191"/>
  <c r="J16" i="191"/>
  <c r="Q15" i="191"/>
  <c r="J15" i="191"/>
  <c r="Q14" i="191"/>
  <c r="J14" i="191"/>
  <c r="Q11" i="191"/>
  <c r="J11" i="191"/>
  <c r="Q10" i="191"/>
  <c r="J10" i="191"/>
  <c r="Q9" i="191"/>
  <c r="J9" i="191"/>
  <c r="Q8" i="191"/>
  <c r="J8" i="191"/>
  <c r="Q7" i="191"/>
  <c r="J7" i="191"/>
  <c r="Q6" i="191"/>
  <c r="J6" i="191"/>
  <c r="O1" i="181"/>
  <c r="T6" i="181" s="1"/>
  <c r="O1" i="189"/>
  <c r="A13" i="189" s="1"/>
  <c r="O1" i="190"/>
  <c r="A11" i="190" s="1"/>
  <c r="P60" i="190"/>
  <c r="I60" i="190"/>
  <c r="D60" i="190"/>
  <c r="P59" i="190"/>
  <c r="I59" i="190"/>
  <c r="D59" i="190"/>
  <c r="P58" i="190"/>
  <c r="I58" i="190"/>
  <c r="D58" i="190"/>
  <c r="P57" i="190"/>
  <c r="I57" i="190"/>
  <c r="D57" i="190"/>
  <c r="P56" i="190"/>
  <c r="I56" i="190"/>
  <c r="D56" i="190"/>
  <c r="P55" i="190"/>
  <c r="I55" i="190"/>
  <c r="D55" i="190"/>
  <c r="P54" i="190"/>
  <c r="I54" i="190"/>
  <c r="D54" i="190"/>
  <c r="P53" i="190"/>
  <c r="I53" i="190"/>
  <c r="D53" i="190"/>
  <c r="P52" i="190"/>
  <c r="I52" i="190"/>
  <c r="D52" i="190"/>
  <c r="P51" i="190"/>
  <c r="I51" i="190"/>
  <c r="D51" i="190"/>
  <c r="P50" i="190"/>
  <c r="I50" i="190"/>
  <c r="D50" i="190"/>
  <c r="P49" i="190"/>
  <c r="I49" i="190"/>
  <c r="D49" i="190"/>
  <c r="P48" i="190"/>
  <c r="I48" i="190"/>
  <c r="D48" i="190"/>
  <c r="P47" i="190"/>
  <c r="I47" i="190"/>
  <c r="D47" i="190"/>
  <c r="P46" i="190"/>
  <c r="I46" i="190"/>
  <c r="D46" i="190"/>
  <c r="P45" i="190"/>
  <c r="I45" i="190"/>
  <c r="D45" i="190"/>
  <c r="P44" i="190"/>
  <c r="I44" i="190"/>
  <c r="D44" i="190"/>
  <c r="P43" i="190"/>
  <c r="I43" i="190"/>
  <c r="D43" i="190"/>
  <c r="P42" i="190"/>
  <c r="I42" i="190"/>
  <c r="D42" i="190"/>
  <c r="P41" i="190"/>
  <c r="I41" i="190"/>
  <c r="D41" i="190"/>
  <c r="P40" i="190"/>
  <c r="I40" i="190"/>
  <c r="D40" i="190"/>
  <c r="P39" i="190"/>
  <c r="I39" i="190"/>
  <c r="D39" i="190"/>
  <c r="P38" i="190"/>
  <c r="I38" i="190"/>
  <c r="D38" i="190"/>
  <c r="P37" i="190"/>
  <c r="I37" i="190"/>
  <c r="D37" i="190"/>
  <c r="P36" i="190"/>
  <c r="I36" i="190"/>
  <c r="D36" i="190"/>
  <c r="P35" i="190"/>
  <c r="I35" i="190"/>
  <c r="D35" i="190"/>
  <c r="P34" i="190"/>
  <c r="I34" i="190"/>
  <c r="D34" i="190"/>
  <c r="P33" i="190"/>
  <c r="I33" i="190"/>
  <c r="D33" i="190"/>
  <c r="P32" i="190"/>
  <c r="I32" i="190"/>
  <c r="D32" i="190"/>
  <c r="P31" i="190"/>
  <c r="I31" i="190"/>
  <c r="D31" i="190"/>
  <c r="P30" i="190"/>
  <c r="I30" i="190"/>
  <c r="D30" i="190"/>
  <c r="P29" i="190"/>
  <c r="I29" i="190"/>
  <c r="D29" i="190"/>
  <c r="P28" i="190"/>
  <c r="I28" i="190"/>
  <c r="D28" i="190"/>
  <c r="P27" i="190"/>
  <c r="I27" i="190"/>
  <c r="D27" i="190"/>
  <c r="P26" i="190"/>
  <c r="I26" i="190"/>
  <c r="D26" i="190"/>
  <c r="P25" i="190"/>
  <c r="I25" i="190"/>
  <c r="D25" i="190"/>
  <c r="P24" i="190"/>
  <c r="I24" i="190"/>
  <c r="D24" i="190"/>
  <c r="P23" i="190"/>
  <c r="I23" i="190"/>
  <c r="D23" i="190"/>
  <c r="P22" i="190"/>
  <c r="I22" i="190"/>
  <c r="D22" i="190"/>
  <c r="P21" i="190"/>
  <c r="I21" i="190"/>
  <c r="D21" i="190"/>
  <c r="P20" i="190"/>
  <c r="I20" i="190"/>
  <c r="D20" i="190"/>
  <c r="P19" i="190"/>
  <c r="I19" i="190"/>
  <c r="D19" i="190"/>
  <c r="P18" i="190"/>
  <c r="I18" i="190"/>
  <c r="D18" i="190"/>
  <c r="P17" i="190"/>
  <c r="I17" i="190"/>
  <c r="D17" i="190"/>
  <c r="S18" i="190"/>
  <c r="P16" i="190"/>
  <c r="I16" i="190"/>
  <c r="D16" i="190"/>
  <c r="S17" i="190"/>
  <c r="P15" i="190"/>
  <c r="I15" i="190"/>
  <c r="D15" i="190"/>
  <c r="S16" i="190"/>
  <c r="P14" i="190"/>
  <c r="I14" i="190"/>
  <c r="D14" i="190"/>
  <c r="S15" i="190"/>
  <c r="P13" i="190"/>
  <c r="I13" i="190"/>
  <c r="D13" i="190"/>
  <c r="S14" i="190"/>
  <c r="P12" i="190"/>
  <c r="I12" i="190"/>
  <c r="D12" i="190"/>
  <c r="S13" i="190"/>
  <c r="P11" i="190"/>
  <c r="I11" i="190"/>
  <c r="D11" i="190"/>
  <c r="S12" i="190"/>
  <c r="P10" i="190"/>
  <c r="I10" i="190"/>
  <c r="D10" i="190"/>
  <c r="S11" i="190"/>
  <c r="S10" i="190"/>
  <c r="S9" i="190"/>
  <c r="P9" i="190"/>
  <c r="I9" i="190"/>
  <c r="D9" i="190"/>
  <c r="S8" i="190"/>
  <c r="P8" i="190"/>
  <c r="I8" i="190"/>
  <c r="D8" i="190"/>
  <c r="S7" i="190"/>
  <c r="P7" i="190"/>
  <c r="I7" i="190"/>
  <c r="D7" i="190"/>
  <c r="S6" i="190"/>
  <c r="P6" i="190"/>
  <c r="I6" i="190"/>
  <c r="D6" i="190"/>
  <c r="P72" i="189"/>
  <c r="I72" i="189"/>
  <c r="D72" i="189"/>
  <c r="P71" i="189"/>
  <c r="I71" i="189"/>
  <c r="D71" i="189"/>
  <c r="P70" i="189"/>
  <c r="I70" i="189"/>
  <c r="D70" i="189"/>
  <c r="P69" i="189"/>
  <c r="I69" i="189"/>
  <c r="D69" i="189"/>
  <c r="P68" i="189"/>
  <c r="I68" i="189"/>
  <c r="D68" i="189"/>
  <c r="P67" i="189"/>
  <c r="I67" i="189"/>
  <c r="D67" i="189"/>
  <c r="P66" i="189"/>
  <c r="I66" i="189"/>
  <c r="D66" i="189"/>
  <c r="P65" i="189"/>
  <c r="I65" i="189"/>
  <c r="D65" i="189"/>
  <c r="P64" i="189"/>
  <c r="I64" i="189"/>
  <c r="D64" i="189"/>
  <c r="P63" i="189"/>
  <c r="I63" i="189"/>
  <c r="D63" i="189"/>
  <c r="P62" i="189"/>
  <c r="I62" i="189"/>
  <c r="D62" i="189"/>
  <c r="P61" i="189"/>
  <c r="I61" i="189"/>
  <c r="D61" i="189"/>
  <c r="P60" i="189"/>
  <c r="I60" i="189"/>
  <c r="D60" i="189"/>
  <c r="P59" i="189"/>
  <c r="I59" i="189"/>
  <c r="D59" i="189"/>
  <c r="P58" i="189"/>
  <c r="I58" i="189"/>
  <c r="D58" i="189"/>
  <c r="P57" i="189"/>
  <c r="I57" i="189"/>
  <c r="D57" i="189"/>
  <c r="P56" i="189"/>
  <c r="I56" i="189"/>
  <c r="D56" i="189"/>
  <c r="P55" i="189"/>
  <c r="I55" i="189"/>
  <c r="D55" i="189"/>
  <c r="P54" i="189"/>
  <c r="I54" i="189"/>
  <c r="D54" i="189"/>
  <c r="P53" i="189"/>
  <c r="I53" i="189"/>
  <c r="D53" i="189"/>
  <c r="P52" i="189"/>
  <c r="I52" i="189"/>
  <c r="D52" i="189"/>
  <c r="P51" i="189"/>
  <c r="I51" i="189"/>
  <c r="D51" i="189"/>
  <c r="P50" i="189"/>
  <c r="I50" i="189"/>
  <c r="D50" i="189"/>
  <c r="P49" i="189"/>
  <c r="I49" i="189"/>
  <c r="D49" i="189"/>
  <c r="P48" i="189"/>
  <c r="I48" i="189"/>
  <c r="D48" i="189"/>
  <c r="P47" i="189"/>
  <c r="I47" i="189"/>
  <c r="D47" i="189"/>
  <c r="P46" i="189"/>
  <c r="I46" i="189"/>
  <c r="D46" i="189"/>
  <c r="P45" i="189"/>
  <c r="I45" i="189"/>
  <c r="D45" i="189"/>
  <c r="P44" i="189"/>
  <c r="I44" i="189"/>
  <c r="D44" i="189"/>
  <c r="P43" i="189"/>
  <c r="I43" i="189"/>
  <c r="D43" i="189"/>
  <c r="P42" i="189"/>
  <c r="I42" i="189"/>
  <c r="D42" i="189"/>
  <c r="P41" i="189"/>
  <c r="I41" i="189"/>
  <c r="D41" i="189"/>
  <c r="P40" i="189"/>
  <c r="I40" i="189"/>
  <c r="D40" i="189"/>
  <c r="P39" i="189"/>
  <c r="I39" i="189"/>
  <c r="D39" i="189"/>
  <c r="P38" i="189"/>
  <c r="I38" i="189"/>
  <c r="D38" i="189"/>
  <c r="P37" i="189"/>
  <c r="I37" i="189"/>
  <c r="D37" i="189"/>
  <c r="P36" i="189"/>
  <c r="I36" i="189"/>
  <c r="D36" i="189"/>
  <c r="P35" i="189"/>
  <c r="I35" i="189"/>
  <c r="D35" i="189"/>
  <c r="P34" i="189"/>
  <c r="I34" i="189"/>
  <c r="D34" i="189"/>
  <c r="P33" i="189"/>
  <c r="I33" i="189"/>
  <c r="D33" i="189"/>
  <c r="P32" i="189"/>
  <c r="I32" i="189"/>
  <c r="D32" i="189"/>
  <c r="P31" i="189"/>
  <c r="I31" i="189"/>
  <c r="D31" i="189"/>
  <c r="P30" i="189"/>
  <c r="I30" i="189"/>
  <c r="D30" i="189"/>
  <c r="P29" i="189"/>
  <c r="I29" i="189"/>
  <c r="D29" i="189"/>
  <c r="P28" i="189"/>
  <c r="I28" i="189"/>
  <c r="D28" i="189"/>
  <c r="P27" i="189"/>
  <c r="I27" i="189"/>
  <c r="D27" i="189"/>
  <c r="P26" i="189"/>
  <c r="I26" i="189"/>
  <c r="D26" i="189"/>
  <c r="P25" i="189"/>
  <c r="I25" i="189"/>
  <c r="D25" i="189"/>
  <c r="P24" i="189"/>
  <c r="I24" i="189"/>
  <c r="D24" i="189"/>
  <c r="P23" i="189"/>
  <c r="I23" i="189"/>
  <c r="D23" i="189"/>
  <c r="P22" i="189"/>
  <c r="I22" i="189"/>
  <c r="D22" i="189"/>
  <c r="P21" i="189"/>
  <c r="I21" i="189"/>
  <c r="D21" i="189"/>
  <c r="P20" i="189"/>
  <c r="I20" i="189"/>
  <c r="D20" i="189"/>
  <c r="P19" i="189"/>
  <c r="I19" i="189"/>
  <c r="D19" i="189"/>
  <c r="P18" i="189"/>
  <c r="I18" i="189"/>
  <c r="D18" i="189"/>
  <c r="P17" i="189"/>
  <c r="I17" i="189"/>
  <c r="D17" i="189"/>
  <c r="P16" i="189"/>
  <c r="I16" i="189"/>
  <c r="D16" i="189"/>
  <c r="P15" i="189"/>
  <c r="I15" i="189"/>
  <c r="D15" i="189"/>
  <c r="P14" i="189"/>
  <c r="I14" i="189"/>
  <c r="D14" i="189"/>
  <c r="P13" i="189"/>
  <c r="I13" i="189"/>
  <c r="D13" i="189"/>
  <c r="P12" i="189"/>
  <c r="I12" i="189"/>
  <c r="D12" i="189"/>
  <c r="P11" i="189"/>
  <c r="I11" i="189"/>
  <c r="D11" i="189"/>
  <c r="P10" i="189"/>
  <c r="I10" i="189"/>
  <c r="D10" i="189"/>
  <c r="P9" i="189"/>
  <c r="I9" i="189"/>
  <c r="D9" i="189"/>
  <c r="P8" i="189"/>
  <c r="I8" i="189"/>
  <c r="D8" i="189"/>
  <c r="P7" i="189"/>
  <c r="I7" i="189"/>
  <c r="D7" i="189"/>
  <c r="P6" i="189"/>
  <c r="I6" i="189"/>
  <c r="D6" i="189"/>
  <c r="P6" i="181"/>
  <c r="T6" i="190" l="1"/>
  <c r="T16" i="189"/>
  <c r="T17" i="190"/>
  <c r="T9" i="190"/>
  <c r="T11" i="189"/>
  <c r="T13" i="181"/>
  <c r="T14" i="190"/>
  <c r="T16" i="190"/>
  <c r="T8" i="190"/>
  <c r="T18" i="189"/>
  <c r="T10" i="189"/>
  <c r="T12" i="181"/>
  <c r="T13" i="190"/>
  <c r="T15" i="189"/>
  <c r="T7" i="189"/>
  <c r="T17" i="181"/>
  <c r="T9" i="181"/>
  <c r="T12" i="190"/>
  <c r="T14" i="189"/>
  <c r="T6" i="189"/>
  <c r="T16" i="181"/>
  <c r="T8" i="181"/>
  <c r="T8" i="189"/>
  <c r="T11" i="190"/>
  <c r="T13" i="189"/>
  <c r="T15" i="181"/>
  <c r="T7" i="181"/>
  <c r="T15" i="190"/>
  <c r="T7" i="190"/>
  <c r="T18" i="190"/>
  <c r="T10" i="190"/>
  <c r="T12" i="189"/>
  <c r="T14" i="181"/>
  <c r="U9" i="191"/>
  <c r="U16" i="191"/>
  <c r="U8" i="191"/>
  <c r="U18" i="191"/>
  <c r="U10" i="191"/>
  <c r="U15" i="191"/>
  <c r="U7" i="191"/>
  <c r="U17" i="191"/>
  <c r="U14" i="191"/>
  <c r="U13" i="191"/>
  <c r="U12" i="191"/>
  <c r="U6" i="191"/>
  <c r="R69" i="191"/>
  <c r="R70" i="191"/>
  <c r="R71" i="191"/>
  <c r="R54" i="191"/>
  <c r="AE12" i="191"/>
  <c r="AE13" i="191" s="1"/>
  <c r="P2" i="191" s="1"/>
  <c r="E53" i="191" s="1"/>
  <c r="R53" i="191"/>
  <c r="R11" i="191"/>
  <c r="R13" i="191"/>
  <c r="R12" i="191"/>
  <c r="R74" i="191"/>
  <c r="X8" i="191" s="1"/>
  <c r="G10" i="155" s="1"/>
  <c r="R22" i="191"/>
  <c r="R7" i="191"/>
  <c r="R17" i="191"/>
  <c r="R73" i="191"/>
  <c r="X7" i="191" s="1"/>
  <c r="G9" i="155" s="1"/>
  <c r="R72" i="191"/>
  <c r="X6" i="191" s="1"/>
  <c r="G8" i="155" s="1"/>
  <c r="R30" i="191"/>
  <c r="R44" i="191"/>
  <c r="R64" i="191"/>
  <c r="X18" i="191" s="1"/>
  <c r="G20" i="155" s="1"/>
  <c r="R20" i="191"/>
  <c r="R26" i="191"/>
  <c r="R40" i="191"/>
  <c r="X14" i="191" s="1"/>
  <c r="G16" i="155" s="1"/>
  <c r="R50" i="191"/>
  <c r="R57" i="191"/>
  <c r="R14" i="191"/>
  <c r="X10" i="191" s="1"/>
  <c r="G12" i="155" s="1"/>
  <c r="R24" i="191"/>
  <c r="X12" i="191" s="1"/>
  <c r="G14" i="155" s="1"/>
  <c r="R38" i="191"/>
  <c r="R48" i="191"/>
  <c r="X15" i="191" s="1"/>
  <c r="G17" i="155" s="1"/>
  <c r="R65" i="191"/>
  <c r="R28" i="191"/>
  <c r="R42" i="191"/>
  <c r="R52" i="191"/>
  <c r="R60" i="191"/>
  <c r="R67" i="191"/>
  <c r="R15" i="191"/>
  <c r="R9" i="191"/>
  <c r="R16" i="191"/>
  <c r="R34" i="191"/>
  <c r="R21" i="191"/>
  <c r="R25" i="191"/>
  <c r="R29" i="191"/>
  <c r="R36" i="191"/>
  <c r="R55" i="191"/>
  <c r="X16" i="191" s="1"/>
  <c r="G18" i="155" s="1"/>
  <c r="R32" i="191"/>
  <c r="R46" i="191"/>
  <c r="R62" i="191"/>
  <c r="R8" i="191"/>
  <c r="R27" i="191"/>
  <c r="R39" i="191"/>
  <c r="R56" i="191"/>
  <c r="R19" i="191"/>
  <c r="X11" i="191" s="1"/>
  <c r="G13" i="155" s="1"/>
  <c r="R61" i="191"/>
  <c r="R10" i="191"/>
  <c r="R23" i="191"/>
  <c r="R35" i="191"/>
  <c r="R51" i="191"/>
  <c r="R33" i="191"/>
  <c r="X13" i="191" s="1"/>
  <c r="G15" i="155" s="1"/>
  <c r="R45" i="191"/>
  <c r="R58" i="191"/>
  <c r="R18" i="191"/>
  <c r="R47" i="191"/>
  <c r="R68" i="191"/>
  <c r="R41" i="191"/>
  <c r="R49" i="191"/>
  <c r="R6" i="191"/>
  <c r="X9" i="191" s="1"/>
  <c r="G11" i="155" s="1"/>
  <c r="R31" i="191"/>
  <c r="R43" i="191"/>
  <c r="R37" i="191"/>
  <c r="R59" i="191"/>
  <c r="X17" i="191" s="1"/>
  <c r="G19" i="155" s="1"/>
  <c r="R63" i="191"/>
  <c r="R66" i="191"/>
  <c r="Q58" i="190"/>
  <c r="W6" i="190" s="1"/>
  <c r="F8" i="155" s="1"/>
  <c r="A7" i="190"/>
  <c r="A6" i="190"/>
  <c r="A23" i="190"/>
  <c r="A30" i="190"/>
  <c r="A34" i="190"/>
  <c r="A19" i="190"/>
  <c r="A49" i="190"/>
  <c r="A55" i="190"/>
  <c r="A57" i="190"/>
  <c r="A12" i="190"/>
  <c r="Q13" i="190"/>
  <c r="Q18" i="190"/>
  <c r="Q60" i="190"/>
  <c r="W8" i="190" s="1"/>
  <c r="F10" i="155" s="1"/>
  <c r="A45" i="190"/>
  <c r="Q9" i="190"/>
  <c r="Q41" i="190"/>
  <c r="W15" i="190" s="1"/>
  <c r="F17" i="155" s="1"/>
  <c r="Q12" i="190"/>
  <c r="Q59" i="190"/>
  <c r="W7" i="190" s="1"/>
  <c r="F9" i="155" s="1"/>
  <c r="Q39" i="190"/>
  <c r="Q11" i="190"/>
  <c r="A38" i="190"/>
  <c r="Q42" i="190"/>
  <c r="Q55" i="190"/>
  <c r="Q27" i="190"/>
  <c r="W13" i="190" s="1"/>
  <c r="F15" i="155" s="1"/>
  <c r="Q31" i="190"/>
  <c r="Q35" i="190"/>
  <c r="Q49" i="190"/>
  <c r="Q23" i="190"/>
  <c r="A13" i="190"/>
  <c r="Q17" i="190"/>
  <c r="Q30" i="190"/>
  <c r="A41" i="190"/>
  <c r="Q46" i="190"/>
  <c r="Q57" i="190"/>
  <c r="Q45" i="190"/>
  <c r="Q19" i="190"/>
  <c r="W12" i="190" s="1"/>
  <c r="F14" i="155" s="1"/>
  <c r="Q7" i="190"/>
  <c r="Q20" i="190"/>
  <c r="Q34" i="190"/>
  <c r="W14" i="190" s="1"/>
  <c r="F16" i="155" s="1"/>
  <c r="Q50" i="190"/>
  <c r="Q14" i="190"/>
  <c r="Q10" i="190"/>
  <c r="W10" i="190" s="1"/>
  <c r="F12" i="155" s="1"/>
  <c r="Q24" i="190"/>
  <c r="Q38" i="190"/>
  <c r="Q52" i="190"/>
  <c r="W17" i="190" s="1"/>
  <c r="F19" i="155" s="1"/>
  <c r="Q21" i="190"/>
  <c r="Q40" i="190"/>
  <c r="Q51" i="190"/>
  <c r="A8" i="190"/>
  <c r="A14" i="190"/>
  <c r="A22" i="190"/>
  <c r="A26" i="190"/>
  <c r="A29" i="190"/>
  <c r="A33" i="190"/>
  <c r="A37" i="190"/>
  <c r="A44" i="190"/>
  <c r="A48" i="190"/>
  <c r="A54" i="190"/>
  <c r="A56" i="190"/>
  <c r="A60" i="190"/>
  <c r="Q32" i="190"/>
  <c r="Q43" i="190"/>
  <c r="A9" i="190"/>
  <c r="A15" i="190"/>
  <c r="Q25" i="190"/>
  <c r="Q36" i="190"/>
  <c r="Q53" i="190"/>
  <c r="A16" i="190"/>
  <c r="A18" i="190"/>
  <c r="A21" i="190"/>
  <c r="A25" i="190"/>
  <c r="A28" i="190"/>
  <c r="A32" i="190"/>
  <c r="A36" i="190"/>
  <c r="A40" i="190"/>
  <c r="A43" i="190"/>
  <c r="A47" i="190"/>
  <c r="A51" i="190"/>
  <c r="A53" i="190"/>
  <c r="A59" i="190"/>
  <c r="Q16" i="190"/>
  <c r="Q28" i="190"/>
  <c r="Q47" i="190"/>
  <c r="W16" i="190" s="1"/>
  <c r="F18" i="155" s="1"/>
  <c r="Q6" i="190"/>
  <c r="W9" i="190" s="1"/>
  <c r="F11" i="155" s="1"/>
  <c r="A17" i="190"/>
  <c r="Q15" i="190"/>
  <c r="W11" i="190" s="1"/>
  <c r="F13" i="155" s="1"/>
  <c r="A10" i="190"/>
  <c r="A20" i="190"/>
  <c r="A24" i="190"/>
  <c r="A27" i="190"/>
  <c r="A31" i="190"/>
  <c r="A35" i="190"/>
  <c r="A39" i="190"/>
  <c r="A42" i="190"/>
  <c r="A46" i="190"/>
  <c r="A50" i="190"/>
  <c r="A52" i="190"/>
  <c r="A58" i="190"/>
  <c r="Q8" i="190"/>
  <c r="Q22" i="190"/>
  <c r="Q26" i="190"/>
  <c r="Q29" i="190"/>
  <c r="Q33" i="190"/>
  <c r="Q37" i="190"/>
  <c r="Q44" i="190"/>
  <c r="Q48" i="190"/>
  <c r="Q54" i="190"/>
  <c r="Q56" i="190"/>
  <c r="W18" i="190" s="1"/>
  <c r="F20" i="155" s="1"/>
  <c r="Q17" i="189"/>
  <c r="W11" i="189" s="1"/>
  <c r="E13" i="155" s="1"/>
  <c r="Q9" i="189"/>
  <c r="Q31" i="189"/>
  <c r="Q72" i="189"/>
  <c r="W8" i="189" s="1"/>
  <c r="E10" i="155" s="1"/>
  <c r="Q6" i="189"/>
  <c r="W9" i="189" s="1"/>
  <c r="E11" i="155" s="1"/>
  <c r="A7" i="189"/>
  <c r="A41" i="189"/>
  <c r="Q46" i="189"/>
  <c r="Q48" i="189"/>
  <c r="Q52" i="189"/>
  <c r="A6" i="189"/>
  <c r="Q70" i="189"/>
  <c r="W6" i="189" s="1"/>
  <c r="E8" i="155" s="1"/>
  <c r="Q22" i="189"/>
  <c r="Q24" i="189"/>
  <c r="A49" i="189"/>
  <c r="Q54" i="189"/>
  <c r="Q56" i="189"/>
  <c r="Q50" i="189"/>
  <c r="Q7" i="189"/>
  <c r="Q13" i="189"/>
  <c r="A21" i="189"/>
  <c r="Q26" i="189"/>
  <c r="Q28" i="189"/>
  <c r="A53" i="189"/>
  <c r="Q58" i="189"/>
  <c r="W17" i="189" s="1"/>
  <c r="E19" i="155" s="1"/>
  <c r="Q60" i="189"/>
  <c r="A45" i="189"/>
  <c r="Q16" i="189"/>
  <c r="A15" i="189"/>
  <c r="A25" i="189"/>
  <c r="Q30" i="189"/>
  <c r="W13" i="189" s="1"/>
  <c r="E15" i="155" s="1"/>
  <c r="Q32" i="189"/>
  <c r="A57" i="189"/>
  <c r="Q62" i="189"/>
  <c r="Q64" i="189"/>
  <c r="W18" i="189" s="1"/>
  <c r="E20" i="155" s="1"/>
  <c r="Q19" i="189"/>
  <c r="A29" i="189"/>
  <c r="Q34" i="189"/>
  <c r="Q36" i="189"/>
  <c r="A61" i="189"/>
  <c r="Q66" i="189"/>
  <c r="Q68" i="189"/>
  <c r="Q69" i="189"/>
  <c r="Q12" i="189"/>
  <c r="W10" i="189" s="1"/>
  <c r="E12" i="155" s="1"/>
  <c r="A14" i="189"/>
  <c r="A33" i="189"/>
  <c r="Q38" i="189"/>
  <c r="Q40" i="189"/>
  <c r="A65" i="189"/>
  <c r="Q15" i="189"/>
  <c r="Q71" i="189"/>
  <c r="W7" i="189" s="1"/>
  <c r="E9" i="155" s="1"/>
  <c r="A37" i="189"/>
  <c r="Q42" i="189"/>
  <c r="Q44" i="189"/>
  <c r="A69" i="189"/>
  <c r="Q10" i="189"/>
  <c r="Q18" i="189"/>
  <c r="Q35" i="189"/>
  <c r="Q63" i="189"/>
  <c r="A8" i="189"/>
  <c r="A24" i="189"/>
  <c r="A32" i="189"/>
  <c r="A36" i="189"/>
  <c r="A40" i="189"/>
  <c r="A44" i="189"/>
  <c r="A48" i="189"/>
  <c r="A52" i="189"/>
  <c r="A56" i="189"/>
  <c r="A60" i="189"/>
  <c r="A64" i="189"/>
  <c r="A68" i="189"/>
  <c r="A72" i="189"/>
  <c r="A9" i="189"/>
  <c r="Q23" i="189"/>
  <c r="Q39" i="189"/>
  <c r="Q55" i="189"/>
  <c r="Q11" i="189"/>
  <c r="A28" i="189"/>
  <c r="A17" i="189"/>
  <c r="A10" i="189"/>
  <c r="A18" i="189"/>
  <c r="A20" i="189"/>
  <c r="A23" i="189"/>
  <c r="A27" i="189"/>
  <c r="A31" i="189"/>
  <c r="A35" i="189"/>
  <c r="A39" i="189"/>
  <c r="A43" i="189"/>
  <c r="A47" i="189"/>
  <c r="A51" i="189"/>
  <c r="A55" i="189"/>
  <c r="A59" i="189"/>
  <c r="A63" i="189"/>
  <c r="A67" i="189"/>
  <c r="A71" i="189"/>
  <c r="Q47" i="189"/>
  <c r="Q67" i="189"/>
  <c r="Q20" i="189"/>
  <c r="Q27" i="189"/>
  <c r="Q43" i="189"/>
  <c r="Q51" i="189"/>
  <c r="W16" i="189" s="1"/>
  <c r="E18" i="155" s="1"/>
  <c r="Q59" i="189"/>
  <c r="A16" i="189"/>
  <c r="A11" i="189"/>
  <c r="Q14" i="189"/>
  <c r="A19" i="189"/>
  <c r="Q21" i="189"/>
  <c r="W12" i="189" s="1"/>
  <c r="E14" i="155" s="1"/>
  <c r="Q25" i="189"/>
  <c r="Q29" i="189"/>
  <c r="Q33" i="189"/>
  <c r="Q37" i="189"/>
  <c r="W14" i="189" s="1"/>
  <c r="E16" i="155" s="1"/>
  <c r="Q41" i="189"/>
  <c r="Q45" i="189"/>
  <c r="W15" i="189" s="1"/>
  <c r="E17" i="155" s="1"/>
  <c r="Q49" i="189"/>
  <c r="Q53" i="189"/>
  <c r="Q57" i="189"/>
  <c r="Q61" i="189"/>
  <c r="Q65" i="189"/>
  <c r="A12" i="189"/>
  <c r="A22" i="189"/>
  <c r="A26" i="189"/>
  <c r="A30" i="189"/>
  <c r="A34" i="189"/>
  <c r="A38" i="189"/>
  <c r="A42" i="189"/>
  <c r="A46" i="189"/>
  <c r="A50" i="189"/>
  <c r="A54" i="189"/>
  <c r="A58" i="189"/>
  <c r="A62" i="189"/>
  <c r="A66" i="189"/>
  <c r="A70" i="189"/>
  <c r="Q8" i="189"/>
  <c r="E21" i="155" l="1"/>
  <c r="E25" i="155" s="1"/>
  <c r="G21" i="155"/>
  <c r="G25" i="155" s="1"/>
  <c r="F21" i="155"/>
  <c r="F25" i="155" s="1"/>
  <c r="E60" i="191"/>
  <c r="E56" i="191"/>
  <c r="E44" i="191"/>
  <c r="E59" i="191"/>
  <c r="E32" i="191"/>
  <c r="E10" i="191"/>
  <c r="E19" i="191"/>
  <c r="E58" i="191"/>
  <c r="E26" i="191"/>
  <c r="T18" i="191"/>
  <c r="T15" i="191"/>
  <c r="E27" i="191"/>
  <c r="E65" i="191"/>
  <c r="E66" i="191"/>
  <c r="E67" i="191"/>
  <c r="E61" i="191"/>
  <c r="E40" i="191"/>
  <c r="E52" i="191"/>
  <c r="E63" i="191"/>
  <c r="E12" i="191"/>
  <c r="E54" i="191"/>
  <c r="T11" i="191"/>
  <c r="T16" i="191"/>
  <c r="E35" i="191"/>
  <c r="E36" i="191"/>
  <c r="E14" i="191"/>
  <c r="E18" i="191"/>
  <c r="E68" i="191"/>
  <c r="E48" i="191"/>
  <c r="E7" i="191"/>
  <c r="E72" i="191"/>
  <c r="E9" i="191"/>
  <c r="T12" i="191"/>
  <c r="E21" i="191"/>
  <c r="E30" i="191"/>
  <c r="E28" i="191"/>
  <c r="E62" i="191"/>
  <c r="E25" i="191"/>
  <c r="E34" i="191"/>
  <c r="E71" i="191"/>
  <c r="E64" i="191"/>
  <c r="E29" i="191"/>
  <c r="E38" i="191"/>
  <c r="E31" i="191"/>
  <c r="E6" i="191"/>
  <c r="E69" i="191"/>
  <c r="E33" i="191"/>
  <c r="E42" i="191"/>
  <c r="T9" i="191"/>
  <c r="T14" i="191"/>
  <c r="E74" i="191"/>
  <c r="E37" i="191"/>
  <c r="E46" i="191"/>
  <c r="E39" i="191"/>
  <c r="E16" i="191"/>
  <c r="E50" i="191"/>
  <c r="E41" i="191"/>
  <c r="E20" i="191"/>
  <c r="T17" i="191"/>
  <c r="T7" i="191"/>
  <c r="E43" i="191"/>
  <c r="E11" i="191"/>
  <c r="E22" i="191"/>
  <c r="E15" i="191"/>
  <c r="E8" i="191"/>
  <c r="E57" i="191"/>
  <c r="E17" i="191"/>
  <c r="E70" i="191"/>
  <c r="T13" i="191"/>
  <c r="E51" i="191"/>
  <c r="E23" i="191"/>
  <c r="T6" i="191"/>
  <c r="E45" i="191"/>
  <c r="E55" i="191"/>
  <c r="E47" i="191"/>
  <c r="E24" i="191"/>
  <c r="E73" i="191"/>
  <c r="E49" i="191"/>
  <c r="E13" i="191"/>
  <c r="T10" i="191"/>
  <c r="T8" i="191"/>
  <c r="X19" i="191"/>
  <c r="W19" i="190"/>
  <c r="W19" i="189"/>
  <c r="P71" i="181" l="1"/>
  <c r="P72" i="181"/>
  <c r="P73" i="181"/>
  <c r="P7" i="181"/>
  <c r="P8" i="181"/>
  <c r="P9" i="181"/>
  <c r="P10" i="181"/>
  <c r="P11" i="181"/>
  <c r="P12" i="181"/>
  <c r="P13" i="181"/>
  <c r="P14" i="181"/>
  <c r="P15" i="181"/>
  <c r="P16" i="181"/>
  <c r="P17" i="181"/>
  <c r="P18" i="181"/>
  <c r="P19" i="181"/>
  <c r="P20" i="181"/>
  <c r="P21" i="181"/>
  <c r="P22" i="181"/>
  <c r="P23" i="181"/>
  <c r="P24" i="181"/>
  <c r="P25" i="181"/>
  <c r="P26" i="181"/>
  <c r="P27" i="181"/>
  <c r="P28" i="181"/>
  <c r="P29" i="181"/>
  <c r="P30" i="181"/>
  <c r="P31" i="181"/>
  <c r="P32" i="181"/>
  <c r="P33" i="181"/>
  <c r="P34" i="181"/>
  <c r="P35" i="181"/>
  <c r="P36" i="181"/>
  <c r="P37" i="181"/>
  <c r="P38" i="181"/>
  <c r="P39" i="181"/>
  <c r="P40" i="181"/>
  <c r="P41" i="181"/>
  <c r="P42" i="181"/>
  <c r="P43" i="181"/>
  <c r="P44" i="181"/>
  <c r="P45" i="181"/>
  <c r="P46" i="181"/>
  <c r="P47" i="181"/>
  <c r="P48" i="181"/>
  <c r="P49" i="181"/>
  <c r="P50" i="181"/>
  <c r="P51" i="181"/>
  <c r="P52" i="181"/>
  <c r="P53" i="181"/>
  <c r="P54" i="181"/>
  <c r="P55" i="181"/>
  <c r="P56" i="181"/>
  <c r="P57" i="181"/>
  <c r="P58" i="181"/>
  <c r="P59" i="181"/>
  <c r="P60" i="181"/>
  <c r="P61" i="181"/>
  <c r="P62" i="181"/>
  <c r="P63" i="181"/>
  <c r="P64" i="181"/>
  <c r="P65" i="181"/>
  <c r="P66" i="181"/>
  <c r="P67" i="181"/>
  <c r="P68" i="181"/>
  <c r="P69" i="181"/>
  <c r="P70" i="181"/>
  <c r="I70" i="181" l="1"/>
  <c r="D70" i="181"/>
  <c r="A70" i="181"/>
  <c r="I69" i="181"/>
  <c r="D69" i="181"/>
  <c r="A69" i="181"/>
  <c r="I68" i="181"/>
  <c r="D68" i="181"/>
  <c r="A68" i="181"/>
  <c r="I67" i="181"/>
  <c r="D67" i="181"/>
  <c r="A67" i="181"/>
  <c r="I66" i="181"/>
  <c r="D66" i="181"/>
  <c r="A66" i="181"/>
  <c r="I65" i="181"/>
  <c r="D65" i="181"/>
  <c r="A65" i="181"/>
  <c r="I64" i="181"/>
  <c r="D64" i="181"/>
  <c r="A64" i="181"/>
  <c r="I63" i="181"/>
  <c r="D63" i="181"/>
  <c r="A63" i="181"/>
  <c r="I62" i="181"/>
  <c r="D62" i="181"/>
  <c r="A62" i="181"/>
  <c r="I61" i="181"/>
  <c r="D61" i="181"/>
  <c r="A61" i="181"/>
  <c r="I60" i="181"/>
  <c r="D60" i="181"/>
  <c r="A60" i="181"/>
  <c r="I59" i="181"/>
  <c r="D59" i="181"/>
  <c r="A59" i="181"/>
  <c r="I58" i="181"/>
  <c r="D58" i="181"/>
  <c r="A58" i="181"/>
  <c r="I57" i="181"/>
  <c r="D57" i="181"/>
  <c r="A57" i="181"/>
  <c r="I56" i="181"/>
  <c r="D56" i="181"/>
  <c r="A56" i="181"/>
  <c r="I55" i="181"/>
  <c r="D55" i="181"/>
  <c r="A55" i="181"/>
  <c r="I54" i="181"/>
  <c r="D54" i="181"/>
  <c r="A54" i="181"/>
  <c r="I53" i="181"/>
  <c r="D53" i="181"/>
  <c r="A53" i="181"/>
  <c r="I52" i="181"/>
  <c r="D52" i="181"/>
  <c r="A52" i="181"/>
  <c r="I51" i="181"/>
  <c r="D51" i="181"/>
  <c r="A51" i="181"/>
  <c r="I50" i="181"/>
  <c r="D50" i="181"/>
  <c r="A50" i="181"/>
  <c r="I49" i="181"/>
  <c r="D49" i="181"/>
  <c r="A49" i="181"/>
  <c r="I48" i="181"/>
  <c r="D48" i="181"/>
  <c r="A48" i="181"/>
  <c r="I47" i="181"/>
  <c r="D47" i="181"/>
  <c r="A47" i="181"/>
  <c r="I46" i="181"/>
  <c r="D46" i="181"/>
  <c r="A46" i="181"/>
  <c r="I45" i="181"/>
  <c r="D45" i="181"/>
  <c r="A45" i="181"/>
  <c r="I44" i="181"/>
  <c r="D44" i="181"/>
  <c r="A44" i="181"/>
  <c r="I43" i="181"/>
  <c r="D43" i="181"/>
  <c r="A43" i="181"/>
  <c r="I42" i="181"/>
  <c r="D42" i="181"/>
  <c r="A42" i="181"/>
  <c r="I41" i="181"/>
  <c r="D41" i="181"/>
  <c r="A41" i="181"/>
  <c r="I40" i="181"/>
  <c r="D40" i="181"/>
  <c r="A40" i="181"/>
  <c r="I39" i="181"/>
  <c r="D39" i="181"/>
  <c r="A39" i="181"/>
  <c r="I38" i="181"/>
  <c r="D38" i="181"/>
  <c r="A38" i="181"/>
  <c r="I37" i="181"/>
  <c r="D37" i="181"/>
  <c r="A37" i="181"/>
  <c r="I36" i="181"/>
  <c r="D36" i="181"/>
  <c r="A36" i="181"/>
  <c r="I35" i="181"/>
  <c r="D35" i="181"/>
  <c r="A35" i="181"/>
  <c r="I34" i="181"/>
  <c r="D34" i="181"/>
  <c r="A34" i="181"/>
  <c r="I33" i="181"/>
  <c r="D33" i="181"/>
  <c r="A33" i="181"/>
  <c r="I32" i="181"/>
  <c r="D32" i="181"/>
  <c r="A32" i="181"/>
  <c r="I31" i="181"/>
  <c r="D31" i="181"/>
  <c r="A31" i="181"/>
  <c r="I30" i="181"/>
  <c r="D30" i="181"/>
  <c r="A30" i="181"/>
  <c r="I29" i="181"/>
  <c r="D29" i="181"/>
  <c r="A29" i="181"/>
  <c r="I28" i="181"/>
  <c r="D28" i="181"/>
  <c r="A28" i="181"/>
  <c r="I27" i="181"/>
  <c r="D27" i="181"/>
  <c r="A27" i="181"/>
  <c r="I26" i="181"/>
  <c r="D26" i="181"/>
  <c r="A26" i="181"/>
  <c r="I25" i="181"/>
  <c r="D25" i="181"/>
  <c r="A25" i="181"/>
  <c r="I24" i="181"/>
  <c r="D24" i="181"/>
  <c r="A24" i="181"/>
  <c r="I23" i="181"/>
  <c r="D23" i="181"/>
  <c r="A23" i="181"/>
  <c r="I22" i="181"/>
  <c r="D22" i="181"/>
  <c r="A22" i="181"/>
  <c r="I21" i="181"/>
  <c r="D21" i="181"/>
  <c r="A21" i="181"/>
  <c r="I20" i="181"/>
  <c r="D20" i="181"/>
  <c r="A20" i="181"/>
  <c r="I19" i="181"/>
  <c r="D19" i="181"/>
  <c r="A19" i="181"/>
  <c r="I18" i="181"/>
  <c r="D18" i="181"/>
  <c r="A18" i="181"/>
  <c r="I17" i="181"/>
  <c r="D17" i="181"/>
  <c r="A17" i="181"/>
  <c r="I16" i="181"/>
  <c r="D16" i="181"/>
  <c r="A16" i="181"/>
  <c r="I15" i="181"/>
  <c r="D15" i="181"/>
  <c r="A15" i="181"/>
  <c r="I14" i="181"/>
  <c r="D14" i="181"/>
  <c r="A14" i="181"/>
  <c r="I13" i="181"/>
  <c r="D13" i="181"/>
  <c r="A13" i="181"/>
  <c r="I12" i="181"/>
  <c r="D12" i="181"/>
  <c r="A12" i="181"/>
  <c r="I11" i="181"/>
  <c r="D11" i="181"/>
  <c r="A11" i="181"/>
  <c r="I10" i="181"/>
  <c r="D10" i="181"/>
  <c r="A10" i="181"/>
  <c r="I9" i="181"/>
  <c r="D9" i="181"/>
  <c r="A9" i="181"/>
  <c r="I8" i="181"/>
  <c r="D8" i="181"/>
  <c r="A8" i="181"/>
  <c r="I7" i="181"/>
  <c r="D7" i="181"/>
  <c r="A7" i="181"/>
  <c r="I6" i="181"/>
  <c r="D6" i="181"/>
  <c r="A6" i="181"/>
  <c r="I73" i="181"/>
  <c r="D73" i="181"/>
  <c r="A73" i="181"/>
  <c r="I72" i="181"/>
  <c r="D72" i="181"/>
  <c r="A72" i="181"/>
  <c r="I71" i="181"/>
  <c r="D71" i="181"/>
  <c r="A71" i="181"/>
  <c r="Q13" i="181" l="1"/>
  <c r="Q15" i="181"/>
  <c r="Q14" i="181"/>
  <c r="Q24" i="181"/>
  <c r="Q28" i="181"/>
  <c r="Q32" i="181"/>
  <c r="Q34" i="181"/>
  <c r="Q40" i="181"/>
  <c r="Q44" i="181"/>
  <c r="Q46" i="181"/>
  <c r="W15" i="181" s="1"/>
  <c r="D17" i="155" s="1"/>
  <c r="Q48" i="181"/>
  <c r="Q50" i="181"/>
  <c r="Q52" i="181"/>
  <c r="W16" i="181" s="1"/>
  <c r="D18" i="155" s="1"/>
  <c r="Q54" i="181"/>
  <c r="Q56" i="181"/>
  <c r="Q58" i="181"/>
  <c r="Q60" i="181"/>
  <c r="Q62" i="181"/>
  <c r="Q64" i="181"/>
  <c r="Q66" i="181"/>
  <c r="Q68" i="181"/>
  <c r="Q70" i="181"/>
  <c r="Q29" i="181"/>
  <c r="Q16" i="181"/>
  <c r="Q20" i="181"/>
  <c r="Q30" i="181"/>
  <c r="Q36" i="181"/>
  <c r="Q73" i="181"/>
  <c r="W8" i="181" s="1"/>
  <c r="D10" i="155" s="1"/>
  <c r="Q72" i="181"/>
  <c r="W7" i="181" s="1"/>
  <c r="D9" i="155" s="1"/>
  <c r="Q25" i="181"/>
  <c r="Q12" i="181"/>
  <c r="W10" i="181" s="1"/>
  <c r="D12" i="155" s="1"/>
  <c r="Q22" i="181"/>
  <c r="W12" i="181" s="1"/>
  <c r="D14" i="155" s="1"/>
  <c r="Q38" i="181"/>
  <c r="W14" i="181" s="1"/>
  <c r="D16" i="155" s="1"/>
  <c r="Q21" i="181"/>
  <c r="Q18" i="181"/>
  <c r="Q26" i="181"/>
  <c r="Q42" i="181"/>
  <c r="Q27" i="181"/>
  <c r="Q35" i="181"/>
  <c r="Q39" i="181"/>
  <c r="Q45" i="181"/>
  <c r="Q49" i="181"/>
  <c r="Q53" i="181"/>
  <c r="Q57" i="181"/>
  <c r="Q59" i="181"/>
  <c r="W17" i="181" s="1"/>
  <c r="D19" i="155" s="1"/>
  <c r="Q61" i="181"/>
  <c r="Q63" i="181"/>
  <c r="Q65" i="181"/>
  <c r="W18" i="181" s="1"/>
  <c r="D20" i="155" s="1"/>
  <c r="Q67" i="181"/>
  <c r="Q69" i="181"/>
  <c r="Q17" i="181"/>
  <c r="W11" i="181" s="1"/>
  <c r="D13" i="155" s="1"/>
  <c r="Q31" i="181"/>
  <c r="W13" i="181" s="1"/>
  <c r="D15" i="155" s="1"/>
  <c r="Q47" i="181"/>
  <c r="Q19" i="181"/>
  <c r="Q33" i="181"/>
  <c r="Q41" i="181"/>
  <c r="Q51" i="181"/>
  <c r="Q23" i="181"/>
  <c r="Q37" i="181"/>
  <c r="Q43" i="181"/>
  <c r="Q55" i="181"/>
  <c r="Q71" i="181"/>
  <c r="W6" i="181" s="1"/>
  <c r="D8" i="155" s="1"/>
  <c r="Q11" i="181"/>
  <c r="Q6" i="181"/>
  <c r="Q7" i="181"/>
  <c r="Q8" i="181"/>
  <c r="Q9" i="181"/>
  <c r="Q10" i="181"/>
  <c r="W9" i="181" l="1"/>
  <c r="D11" i="155" s="1"/>
  <c r="D21" i="155" s="1"/>
  <c r="D25" i="155" s="1"/>
  <c r="W19" i="181" l="1"/>
  <c r="C74" i="171" l="1"/>
  <c r="C73" i="171"/>
  <c r="C72" i="171"/>
  <c r="C71" i="1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Arjen Naafs</author>
  </authors>
  <commentList>
    <comment ref="P2" authorId="0" shapeId="0" xr:uid="{C0D3CA20-A4A2-4C4D-9831-5BB3EA641FFD}">
      <text>
        <r>
          <rPr>
            <b/>
            <sz val="9"/>
            <color indexed="81"/>
            <rFont val="Tahoma"/>
            <family val="2"/>
          </rPr>
          <t>Select in column AC what is included</t>
        </r>
      </text>
    </comment>
  </commentList>
</comments>
</file>

<file path=xl/sharedStrings.xml><?xml version="1.0" encoding="utf-8"?>
<sst xmlns="http://schemas.openxmlformats.org/spreadsheetml/2006/main" count="1569" uniqueCount="330">
  <si>
    <t>WASH Systems for Health</t>
  </si>
  <si>
    <t>Glossary</t>
  </si>
  <si>
    <t>Results Framework 2024-2028</t>
  </si>
  <si>
    <t>Developed by IRC for the FCDO</t>
  </si>
  <si>
    <t>Guidance</t>
  </si>
  <si>
    <t xml:space="preserve">Name country / state: </t>
  </si>
  <si>
    <t>Fill in location</t>
  </si>
  <si>
    <t>WASH Systems Index</t>
  </si>
  <si>
    <t>Year</t>
  </si>
  <si>
    <t>Fill in year</t>
  </si>
  <si>
    <t>The benchmarks are defined according to a Likert scale as shown below. The scale is from fully present (green) down to non-existent (red). The Likert ranking results in a scoring from 0-100%. These scores are averaged across each building block and for the KPI's.</t>
  </si>
  <si>
    <t>Likert score</t>
  </si>
  <si>
    <t>Criteria</t>
  </si>
  <si>
    <t>Score</t>
  </si>
  <si>
    <t>Fully</t>
  </si>
  <si>
    <t>The benchmark is fully achieved</t>
  </si>
  <si>
    <t>Mostly</t>
  </si>
  <si>
    <t>Most of the benchmark has been achieved</t>
  </si>
  <si>
    <t>Partially</t>
  </si>
  <si>
    <t>The benchmark is partly achieved</t>
  </si>
  <si>
    <t>Minor</t>
  </si>
  <si>
    <t>Minor achievements have been made toward the benchmark</t>
  </si>
  <si>
    <t>None</t>
  </si>
  <si>
    <t>No achievement towards benchmark</t>
  </si>
  <si>
    <t>Fill in pink cells</t>
  </si>
  <si>
    <t>In the sheets, the pink cells should be filled in.</t>
  </si>
  <si>
    <t>National tabs</t>
  </si>
  <si>
    <t xml:space="preserve">There is a National sheet for each subsector, which can be used to assess the National system strength. If desired, this can be used at State level (such as in India). Ideally, this assessment is done in a combined session with stakeholders. 
</t>
  </si>
  <si>
    <t>District tab</t>
  </si>
  <si>
    <t xml:space="preserve">There is one district sheet prepared as default. Feel free to copy these sheets for as many districts as you have. Please indicate which sub-sector you are assessing at the right of the sheet. IRC is available to help you choose the best way to use this tool for your context and programme. 
</t>
  </si>
  <si>
    <t>Dashboard</t>
  </si>
  <si>
    <t xml:space="preserve">The dashboard sheet has been prepared to provide an overview of scores and to support your analysis. ote that if more districts have been added, the dashboard will need adapting. </t>
  </si>
  <si>
    <t>The building blocks are organised alphabetically, though the discussion may be better to go in different sequence, for example from policy and regulation down towards infrastructure etc.</t>
  </si>
  <si>
    <t xml:space="preserve">Feel free to use filter to enter data, and check the video that is available for each page. </t>
  </si>
  <si>
    <t>Glossary of terms</t>
  </si>
  <si>
    <t>asset management:</t>
  </si>
  <si>
    <t>the maintenance of hardware(such as pumps, meters and pipes) so it provides a desired level of service at the lowest life-cycle cost</t>
  </si>
  <si>
    <t>marginalised groups:</t>
  </si>
  <si>
    <t>Women, children (up to 18 years), people with disabilities (physical), other marginalized groups - based on ethnicity, religion, caste, sexuality, health status or (communities in a certain context at risk of being subjected to multiple discrimination)</t>
  </si>
  <si>
    <t>SDG:</t>
  </si>
  <si>
    <t>Sustainable Development Goals</t>
  </si>
  <si>
    <t>SDM:</t>
  </si>
  <si>
    <t>The combination of type of asset and management model (roles and responsibilities of service providers and authorities) for providing services at a certain level</t>
  </si>
  <si>
    <t>service authority:</t>
  </si>
  <si>
    <t>entity responsible for WASH services in a defined area. The service authority measures the quality of service and the performance of the service provider</t>
  </si>
  <si>
    <t>service delivery:</t>
  </si>
  <si>
    <t>the provision of quality service to end users</t>
  </si>
  <si>
    <t>service provider:</t>
  </si>
  <si>
    <t>entity responsible for the day-to day management of WASH services , including operation and maintenance</t>
  </si>
  <si>
    <t>WASH:</t>
  </si>
  <si>
    <t>Water, Sanitation and Hygiene</t>
  </si>
  <si>
    <t>WRM:</t>
  </si>
  <si>
    <t>Water Resource Management</t>
  </si>
  <si>
    <t>Categories</t>
  </si>
  <si>
    <t>Water</t>
  </si>
  <si>
    <t>Sanitation and Hygiene</t>
  </si>
  <si>
    <t>WASH in schools</t>
  </si>
  <si>
    <t>WASH in HCF</t>
  </si>
  <si>
    <t>WASH overall</t>
  </si>
  <si>
    <t>Password on protection is:</t>
  </si>
  <si>
    <t>water</t>
  </si>
  <si>
    <t>National information / State information:</t>
  </si>
  <si>
    <t xml:space="preserve">Country/State: </t>
  </si>
  <si>
    <r>
      <t>sub-sector</t>
    </r>
    <r>
      <rPr>
        <b/>
        <sz val="14"/>
        <color theme="0"/>
        <rFont val="Calibri"/>
        <family val="2"/>
        <scheme val="minor"/>
      </rPr>
      <t>:</t>
    </r>
  </si>
  <si>
    <t>These fields are used to categorise and can be hidden</t>
  </si>
  <si>
    <t>Fill in cells pink cells</t>
  </si>
  <si>
    <t>Summary table</t>
  </si>
  <si>
    <t>National</t>
  </si>
  <si>
    <t>Source</t>
  </si>
  <si>
    <t>Category</t>
  </si>
  <si>
    <t>Contributing to Index Indicator 1 Climate</t>
  </si>
  <si>
    <t>Contributing to Index Indicator 2 Capacity</t>
  </si>
  <si>
    <t>Contributes to Index Indicator 3</t>
  </si>
  <si>
    <t>Sorting</t>
  </si>
  <si>
    <t>Outcome- number</t>
  </si>
  <si>
    <t>Building block</t>
  </si>
  <si>
    <t>Code</t>
  </si>
  <si>
    <t>Benchmark</t>
  </si>
  <si>
    <t>Rating</t>
  </si>
  <si>
    <t>Provide details and explanations to justify the rating</t>
  </si>
  <si>
    <t>Provide references to data sources where relevant</t>
  </si>
  <si>
    <t>Benchmark Score</t>
  </si>
  <si>
    <t>Overall building block score</t>
  </si>
  <si>
    <t>Area</t>
  </si>
  <si>
    <t>Indicator</t>
  </si>
  <si>
    <t>Index</t>
  </si>
  <si>
    <t>Calculation</t>
  </si>
  <si>
    <t>Finance</t>
  </si>
  <si>
    <t>Overall Finance</t>
  </si>
  <si>
    <t xml:space="preserve">    </t>
  </si>
  <si>
    <t>Index Indicator 1</t>
  </si>
  <si>
    <t>Climate Index</t>
  </si>
  <si>
    <t>Data entry</t>
  </si>
  <si>
    <t>For each of the cost categories (capital expenditure, capital maintenance, operational expenditure, direct support and indirect support), the main sources of funding (and finance) and funding flows are defined.</t>
  </si>
  <si>
    <t>Index Indicator 2</t>
  </si>
  <si>
    <t>Capacity Index</t>
  </si>
  <si>
    <t>There is a comprehensive (quantitative) assessment of the finance gap</t>
  </si>
  <si>
    <t>Index Indicator 3</t>
  </si>
  <si>
    <t>GESI Index</t>
  </si>
  <si>
    <t>There is a comprehensive national finance strategy, detailing the various strategies to reduce any funding gap.</t>
  </si>
  <si>
    <t>Yes</t>
  </si>
  <si>
    <r>
      <t xml:space="preserve">There are financial considerations </t>
    </r>
    <r>
      <rPr>
        <sz val="11"/>
        <rFont val="Calibri"/>
        <family val="2"/>
      </rPr>
      <t>and nationally defined mechanisms</t>
    </r>
    <r>
      <rPr>
        <sz val="10"/>
        <rFont val="Calibri"/>
        <family val="2"/>
        <scheme val="minor"/>
      </rPr>
      <t xml:space="preserve"> (like subsidies) for households from marginalized communities, including people with disabilities and gender-responsive, inclusive budgeting. Specific budgets are available to target these groups, and the effectiveness of these subsidies/mechanisms is regularly reviewed. (Please indicate which marginalised groups are covered in the notes/justification of scores (e.g. remote, rural, IDP/refugee, PWDs, older adults, women and girls instead)). </t>
    </r>
  </si>
  <si>
    <t>Infrastructure (development)</t>
  </si>
  <si>
    <t xml:space="preserve">There is a comprehensive assessment of the cost and funding gaps of climate adaptation in the water service sector under different scenarios, e.g. considering prolonged droughts or more frequent floods. </t>
  </si>
  <si>
    <t>Infrastructure management and service delivery models</t>
  </si>
  <si>
    <t>Overall Infrastructure Development</t>
  </si>
  <si>
    <t>Institutions</t>
  </si>
  <si>
    <t>The project delivery models and procurement procedures for capital investments projects are clearly articulated in government-sanctioned implementation manuals. These are sufficiently differentiated for different segments of the population and articulated with the service delivery models.</t>
  </si>
  <si>
    <t>Learning &amp; adaptation</t>
  </si>
  <si>
    <t>There are mechanisms and capacity in place to ensure due diligence, regulation and control over procurement, and these mechanisms are being used in practice by national stakeholders.</t>
  </si>
  <si>
    <t>Monitoring</t>
  </si>
  <si>
    <t>The guidelines/manuals provide designs suitable for women (including pregnant women), elderly, people with disabilities, adolescent girls and children.</t>
  </si>
  <si>
    <t>Planning</t>
  </si>
  <si>
    <r>
      <rPr>
        <sz val="10"/>
        <color rgb="FF000000"/>
        <rFont val="Calibri"/>
        <family val="2"/>
        <scheme val="minor"/>
      </rPr>
      <t xml:space="preserve">Water </t>
    </r>
    <r>
      <rPr>
        <u/>
        <sz val="11"/>
        <color rgb="FF000000"/>
        <rFont val="Calibri"/>
        <family val="2"/>
      </rPr>
      <t>service delivery infrastructure development</t>
    </r>
    <r>
      <rPr>
        <sz val="10"/>
        <color rgb="FF000000"/>
        <rFont val="Calibri"/>
        <family val="2"/>
        <scheme val="minor"/>
      </rPr>
      <t xml:space="preserve"> are based on locally-led risk analysis that addresses climate change factors and these mechanisms minimise population exposure to potential failure arising from climatic hazards in different contexts.</t>
    </r>
  </si>
  <si>
    <t>Policy &amp; legislation</t>
  </si>
  <si>
    <t>Infrastructure (management)</t>
  </si>
  <si>
    <t>Overall Infrastructure management</t>
  </si>
  <si>
    <t>Regulation &amp; accountability</t>
  </si>
  <si>
    <t>Asset ownership is clearly defined in laws and regulation.</t>
  </si>
  <si>
    <t>Water resource management</t>
  </si>
  <si>
    <t>A up-to-date inventory (state or national level) exists of all (or most) public infrastructure assets, including age and current physical state of assets.</t>
  </si>
  <si>
    <t>Total</t>
  </si>
  <si>
    <t>All</t>
  </si>
  <si>
    <t>Asset management is operationalised through standard tools, guidelines and trainings.</t>
  </si>
  <si>
    <t>National level support to service authorities, so these can ensure that technical and/or financial support is available to service providers.</t>
  </si>
  <si>
    <t>Overall Institutions building block</t>
  </si>
  <si>
    <t>No</t>
  </si>
  <si>
    <t xml:space="preserve">All key water related functions (policy development, infrastructure development, service delivery, service authority, regulation, monitoring and oversight, financing, water resources management, etc) are clearly assigned to specific institutions, without unfulfilled functions or unhelpful duplications. </t>
  </si>
  <si>
    <t>The assigned functions and mandates of the institutions are well-understood by the different stakeholders at both national and decentralised levels. This is includes institutional clarity for water supply in health care facilities, schools, public places, and households.</t>
  </si>
  <si>
    <t>Adequate and functional relationships and coordination mechanisms exist: 1) among national level sector-related institutions, 2) between national and decentralised institutions, 3) with institutions of related sectors such as health, education, gender mainstreaming</t>
  </si>
  <si>
    <t xml:space="preserve">Staffing requirements for national (ministries, departments, national utilities, regulator) and decentralised  (districts, communities, service providers) bodies are clearly defined in both a quantitative (number of staff) and qualitative (profiles and skills including GESI) sense. These are adequate to fulfil all functions and all positions are filled. </t>
  </si>
  <si>
    <t xml:space="preserve">There are adequate national institutions, platforms and mechanisms for capacity building related to all aspects (building blocks, including sanitation and hygiene promotion, construction of sanitation and hygiene facilities, financing, regulation etc) for all relevant water service delivery models (e.g. community managed handpumps, utility-managed piped schemes etc). National stakeholders have access to and make use of these for continuous capacity improvement. </t>
  </si>
  <si>
    <t>At least one third of the staffing of national bodies include women and/or people from marginalized communities/with disabilities. Women and people from marginalized communities are part of decision making positions/platforms.</t>
  </si>
  <si>
    <t>The institutional roles and responsibilities for climate resilient water supply are clearly defined (for example between actors in the WASH, environment and climate change sectors).</t>
  </si>
  <si>
    <t>An inter-ministerial/inter-departmental coordination mechanism exists between departments responsible for climate change, environment, agriculture, energy, water resources and those responsible for water supply.</t>
  </si>
  <si>
    <t>Learning and adaptation</t>
  </si>
  <si>
    <t>Overall Learning and adaptation</t>
  </si>
  <si>
    <t>There are institutionalised learning platforms and/or mechanisms at sector level (joint sector reviews, donor platforms, donor-government platforms, national learning alliance, thematic working groups, resource centres and sector web sites).</t>
  </si>
  <si>
    <r>
      <t xml:space="preserve">The national </t>
    </r>
    <r>
      <rPr>
        <sz val="11"/>
        <rFont val="Calibri"/>
        <family val="2"/>
      </rPr>
      <t>learning</t>
    </r>
    <r>
      <rPr>
        <sz val="10"/>
        <rFont val="Calibri"/>
        <family val="2"/>
        <scheme val="minor"/>
      </rPr>
      <t xml:space="preserve"> platforms are linked to the decentralized level.</t>
    </r>
  </si>
  <si>
    <t xml:space="preserve">The reflections from these platforms are documented and shared, and these are systematically taken up in policies, strategies, and practice. </t>
  </si>
  <si>
    <t>The institutions working on water supply are actively discussing, learning, and strategizing about how to address issues of communities and people that are left behind to ensure water service delivery to all.</t>
  </si>
  <si>
    <t>The platforms are sufficiently representative of the different sector stakeholders, including representatives of groups/organizations working on rights of women, people with disabilities and marginalized communities.</t>
  </si>
  <si>
    <t>The institutions working on water supply are actively discussing, learning, and strategizing about how to integrate climate change risk reduction into water service delivery.</t>
  </si>
  <si>
    <t>Overall Monitoring</t>
  </si>
  <si>
    <t xml:space="preserve">There is a national monitoring framework (the different sectoral monitoring systems speak to each other, in particular to the National Bureau of Statistics). It covers service delivery in different contexts and links to (or is complemented by) the health and education monitoring information systems. </t>
  </si>
  <si>
    <t>The data from the monitoring system are analysed and used at sector level, e.g. for macro-level planning, trends analysis, policy making.</t>
  </si>
  <si>
    <t xml:space="preserve">The monitoring systems include both service delivery indicators (service level, service provider performance, service authority performance) and upstream systems strengthen (or sector performance) indicators. </t>
  </si>
  <si>
    <t>The monitoring systems actively cover the entire country (all districts, all communities, all service providers).</t>
  </si>
  <si>
    <t>The data in the national monitoring system are regularly updated.</t>
  </si>
  <si>
    <t xml:space="preserve">The monitoring system captures disaggregated data, capturing households from marginalized communities, people with disabilities. </t>
  </si>
  <si>
    <t xml:space="preserve">There is monitoring and documentation of priority climate hazards to water resources and water  infrastructure. There is a link between disaster reporting and climate adaptation planning. </t>
  </si>
  <si>
    <t>Overall Planning</t>
  </si>
  <si>
    <t>National planning mechanisms exist and they are based on a vision for reaching the water service targets (national or SDG) and a realistic understanding of costs and budgets. These mechanisms support coordinated planning among sector stakeholders (gov't, utilities, donors, etc)</t>
  </si>
  <si>
    <t>The national plans take into account in-country differences (geography; demography; water resources), recognizing the different SDMs.</t>
  </si>
  <si>
    <t>The national plan reflects and takes into consideration the planning done at decentralised level and vice versa.</t>
  </si>
  <si>
    <t xml:space="preserve">National plans and planning mechanisms include specification for gender-inclusion and/or reaching marginalised groups. </t>
  </si>
  <si>
    <t>The plans incorporate an analysis of climate change risk and vulnerability.</t>
  </si>
  <si>
    <t>Policy and Legislation</t>
  </si>
  <si>
    <t>Overall Policy and Legislation</t>
  </si>
  <si>
    <t xml:space="preserve">A legal framework for the sector is in place. </t>
  </si>
  <si>
    <t>National guidelines for development and management of services are in place.</t>
  </si>
  <si>
    <t>National Sector Policy and Strategy is in place.</t>
  </si>
  <si>
    <t>Norms and standards for quality of works and service delivery are in place.</t>
  </si>
  <si>
    <t>The legislation and policies acknowledge those left behind (based on gender, disabilities, socially or economically marginalized, etc.) and have provisions to ensure everyone is covered with WASH services</t>
  </si>
  <si>
    <t>There is a strategic framework in which environmental and climate change adaptation policies and strategies (including National Adaptation Plans (NAPs) and Nationally Determined Contributions (NDCs)) are aligned with those of WASH, and vice versa.</t>
  </si>
  <si>
    <t>Regulation and accountability</t>
  </si>
  <si>
    <t>Overall Regulation and accountability</t>
  </si>
  <si>
    <r>
      <t>The entity equipped with regulatory functions sets (1) tariff regulations and provide tariff calculation guidelines,</t>
    </r>
    <r>
      <rPr>
        <strike/>
        <sz val="10"/>
        <rFont val="Calibri"/>
        <family val="2"/>
        <scheme val="minor"/>
      </rPr>
      <t xml:space="preserve"> </t>
    </r>
    <r>
      <rPr>
        <sz val="10"/>
        <rFont val="Calibri"/>
        <family val="2"/>
        <scheme val="minor"/>
      </rPr>
      <t>(2) service performance regulation standards and guidelines (e.g. for NRW, operational cost recovery rate, continuity etc),</t>
    </r>
    <r>
      <rPr>
        <strike/>
        <sz val="10"/>
        <rFont val="Calibri"/>
        <family val="2"/>
        <scheme val="minor"/>
      </rPr>
      <t xml:space="preserve"> </t>
    </r>
    <r>
      <rPr>
        <sz val="10"/>
        <rFont val="Calibri"/>
        <family val="2"/>
        <scheme val="minor"/>
      </rPr>
      <t xml:space="preserve">(3) rules that protect consumers </t>
    </r>
    <r>
      <rPr>
        <sz val="10"/>
        <rFont val="Calibri"/>
        <family val="2"/>
      </rPr>
      <t xml:space="preserve">, (4) water quality regulation guidelines, (5) environmental regulation guidelines. </t>
    </r>
  </si>
  <si>
    <t xml:space="preserve">There is a regulatory entity for the services or  regulatory functions delegated to sub-national institutions (e.g. through contracts). This may be an independent regulator or a dedicated function within the Ministry. </t>
  </si>
  <si>
    <r>
      <t xml:space="preserve">The entity equipped with regulatory functions uses data (monitoring data, audits and score cards) to guide performance management and apply effective enforcement (incentives and penalties) in the </t>
    </r>
    <r>
      <rPr>
        <sz val="11"/>
        <rFont val="Calibri"/>
        <family val="2"/>
      </rPr>
      <t>five</t>
    </r>
    <r>
      <rPr>
        <sz val="10"/>
        <rFont val="Calibri"/>
        <family val="2"/>
        <scheme val="minor"/>
      </rPr>
      <t xml:space="preserve"> areas of regulation mentioned in the previous statement.</t>
    </r>
  </si>
  <si>
    <t>The regulator ensures that the service provider is providing services to all (including women headed households, people with disabilities).</t>
  </si>
  <si>
    <t>There are governmental mechanisms to monitor progress towards climate change adaptation national targets, and there are publicly available commitments made at the international level that relate to water (e.g. NDCs; NAP).</t>
  </si>
  <si>
    <t>Water Resource management</t>
  </si>
  <si>
    <t>Overall Water Resource management</t>
  </si>
  <si>
    <t>There is legislation and/or policy in place that clearly defines priorities and processes relating to water resources allocation, regulation and water rights.</t>
  </si>
  <si>
    <t>There are national water resource management institutions in place and able to undertake their mandated functions for water resource management as it pertains to potable water supply (catchment authorities and river basin authorities).</t>
  </si>
  <si>
    <r>
      <t xml:space="preserve">There is national guidance in place for mechanisms or platforms that allow representation of </t>
    </r>
    <r>
      <rPr>
        <sz val="11"/>
        <rFont val="Calibri"/>
        <family val="2"/>
      </rPr>
      <t>water</t>
    </r>
    <r>
      <rPr>
        <sz val="10"/>
        <rFont val="Calibri"/>
        <family val="2"/>
        <scheme val="minor"/>
      </rPr>
      <t xml:space="preserve"> service authorities and/or service providers in water resource management bodies.</t>
    </r>
  </si>
  <si>
    <t>There is national guidance on inclusion of relevant groups in these mechanisms or platforms, to ensure their needs are considered . For example women's groups, farmers, communities marginalized, people with disabilities who are dependent on water for domestic and livelihood purposes, etc.</t>
  </si>
  <si>
    <r>
      <rPr>
        <sz val="10"/>
        <color rgb="FF000000"/>
        <rFont val="Calibri"/>
        <family val="2"/>
        <scheme val="minor"/>
      </rPr>
      <t xml:space="preserve">Climate data and </t>
    </r>
    <r>
      <rPr>
        <sz val="11"/>
        <color rgb="FF000000"/>
        <rFont val="Calibri"/>
        <family val="2"/>
      </rPr>
      <t>national</t>
    </r>
    <r>
      <rPr>
        <sz val="10"/>
        <color rgb="FF000000"/>
        <rFont val="Calibri"/>
        <family val="2"/>
        <scheme val="minor"/>
      </rPr>
      <t xml:space="preserve"> projections have been used to conduct a risk assessment (with local actors leading the process) that considers different climate hazards, the level of exposure of infrastructure and population, as well as vulnerabilities of the water sector (e.g. vulnerability mapping) in relation to climate change, and to prioritise interventions.</t>
    </r>
  </si>
  <si>
    <t>Climate</t>
  </si>
  <si>
    <t>Index Indicator climate: WASH services are able to be delivered to populations and adapt when needed, during and after experiences of climate-induced hazards; and in turn, enable resilience among populations to the effects of climate change.</t>
  </si>
  <si>
    <t>Capacity</t>
  </si>
  <si>
    <t>Index Indicator Capacity: The service authority (e.g. ministry), service providers, and regulator have capacity to plan and implement service system improvements based on data (indexed Index Indicator)</t>
  </si>
  <si>
    <t>GESI</t>
  </si>
  <si>
    <t xml:space="preserve">Index Indicator GESI: The vulnerable households/groups /communities/people with disabilities are identified and acknowledged for support by government to ensure safe and sustainable services, and services are specifically adapted and sustainable extended to meet the needs of these populations. </t>
  </si>
  <si>
    <t>Sanitation &amp; hygiene</t>
  </si>
  <si>
    <t>Description</t>
  </si>
  <si>
    <t>Provide details and explanations to justify the scores</t>
  </si>
  <si>
    <t>Indicator Score</t>
  </si>
  <si>
    <t>For each of the cost categories (capital expenditure (hardware and software, including CLTS triggering and other activities aimed towards stimulating procurement of sanitation and hygiene assets / facilities / products), capital maintenance, operational expenditure, direct support (including hygiene promotion activities, monitoring etc) and indirect support), the main sources of funding (and finance) and funding flows are defined.</t>
  </si>
  <si>
    <t>There is a comprehensive assessment of the finance gap</t>
  </si>
  <si>
    <t xml:space="preserve">There are financial considerations and nationally defined mechanisms (like subsidies) for households from marginalized communities, including people with disabilities and gender-responsive, inclusive budgeting. Specific budgets are available to target these groups, and the effectiveness of these subsidies/mechanisms is regularly reviewed. (Please indicate which marginalised groups are covered in the notes/justification of scores (e.g. remote, rural, IDP/refugee, PWDs, older adults, women and girls instead)). </t>
  </si>
  <si>
    <t xml:space="preserve">There is a comprehensive assessment of the cost and funding gaps of climate adaptation in the sanitation and hygiene sector under different scenarios, e.g. considering prolonged droughts or more frequent floods. </t>
  </si>
  <si>
    <t>The project delivery models and procurement procedures for capital investments projects are clearly articulated in government-sanctioned implementation manuals. These include models and approaches for raising demand (e.g. triggering through CLTS approaches) and supply (e.g. through market-based approaches) for development of sanitation and handwashing facilities, as well as for faecal sludge management facilities. These are sufficiently differentiated for different segments of the population and articulated with the service delivery models.</t>
  </si>
  <si>
    <t>The guidelines/manuals provide designs for handwashing facilities and toilets that can provide safely managed services suitable for women (including pregnant women and taking menstrual hygiene management into account), elderly, people with disabilities, adolescent girls and children.</t>
  </si>
  <si>
    <t>Sanitation service delivery infrastructure development are based on locally-led risk analysis that addresses climate change factors and these mechanisms minimise population exposure to potential failure arising from climatic hazards in different contexts.</t>
  </si>
  <si>
    <t xml:space="preserve">Overall Infrastructure management </t>
  </si>
  <si>
    <t>A (state or national level) inventory exists of all (or most) FSM facilities and wastewater treatment facilities, including age and current physical state of assets, as well as key criteria of their accessibility for people with disabilities and older adults.</t>
  </si>
  <si>
    <t xml:space="preserve">Asset ownership is clearly defined in laws and regulation, particularly for facilities built using subsidies and for those installed by private sector on behalf of communities and households. </t>
  </si>
  <si>
    <t xml:space="preserve">Asset management , including for FSM assets, is operationalised through standard tools, guidelines and trainings. Households have a good understanding of the maintenance requirements and design life for sanitary facilities. </t>
  </si>
  <si>
    <t xml:space="preserve">All key sanitation related functions (policy development, sanitation and hygiene promotion, FSM service delivery, regulation, monitoring and oversight, financing, water resources management, etc) are clearly assigned to specific institutions, without unfulfilled functions or unhelpful duplications (e.g. between Ministry of Health and Ministry of WASH). </t>
  </si>
  <si>
    <t>The assigned functions and mandates of the institutions are well-understood by the different stakeholders at both national and decentralised levels. This is includes institutional clarity for sanitation and hygiene in health care facilities, schools, public places, and households.</t>
  </si>
  <si>
    <t>Adequate and functional relationships and coordination mechanisms exist: 1) among national level sector-related institutions, 2) between national and decentralised institutions, 3) with institutions of related sectors such as health, education, gender and inclusion mainstreaming</t>
  </si>
  <si>
    <t xml:space="preserve">There are adequate national institutions, platforms and mechanisms for capacity building related to all aspects  (e.g. market systems capacity, demand promotion, financing, regulation, etc) of all relevant sanitation and hygiene service delivery models (e.g. households managed latrines with onsite treatment, latrines with FSM, utility-or municipal-managed sewerage etc).  National  stakeholders have access to and make use of these for continuous capacity improvement. </t>
  </si>
  <si>
    <t>The institutional roles and responsibilities for climate resilient sanitation and handwashing are clearly defined (for example between actors in the WASH, environment and climate change sectors).</t>
  </si>
  <si>
    <t>An inter-ministerial/inter-departmental coordination mechanism exists between departments responsible for climate change, environment, agriculture, energy, water resources and those responsible for sanitation and hygiene.</t>
  </si>
  <si>
    <t>The national learning platforms are linked to the decentralized level.</t>
  </si>
  <si>
    <t>The institutions working on sanitation and hygiene are actively discussing, learning, and strategizing about how to address issues of communities and people that are left behind to ensure sanitation and hygiene service delivery to all.</t>
  </si>
  <si>
    <t>The institutions working on sanitation and hygiene are actively discussing, learning, and strategizing about how to integrate climate change risk reduction into sanitation and hygiene service delivery.</t>
  </si>
  <si>
    <t xml:space="preserve">The monitoring systems include both sanitation and hygiene service delivery indicators (service level (including coverage of sanitation service levels, hygiene behaviour and practices, and ODF communities, where relevant), service provider performance (including on hygiene promotion activities, FSM, etc), service authority performance) and upstream systems strengthen (or sector performance) indicators. </t>
  </si>
  <si>
    <t xml:space="preserve">There is monitoring and documentation of priority climate hazards to sanitation and hygiene infrastructure and sanitation-related water resource issues. There is a link between disaster reporting and climate adaptation planning. </t>
  </si>
  <si>
    <t>National planning mechanisms exist and they are based on a vision for reaching the sanitation and hygiene targets (national or SDG) and a realistic understanding of costs and budgets. These mechanisms support coordinated planning among sector stakeholders (gov't, utilities, donors, etc)</t>
  </si>
  <si>
    <t xml:space="preserve">National plans and planning mechanisms include specification for gender-inclusion, including menstrual hygiene management, and reaching marginalised groups. </t>
  </si>
  <si>
    <t>Norms and standards for quality of works and service delivery throughout the sanitation chain are in place.</t>
  </si>
  <si>
    <t xml:space="preserve">The entity equipped with regulatory functions sets (1) tariff regulations and provide tariff calculation guidelines (e.g. for public latrines and FSM services), (2) service performance regulation standards and guidelines (e.g. for latrine artisans, FSM service providers), (3) rules that protect consumers, (4) environmental regulation guidelines (related to open defecation, FS disposal, environmental pollution etc). </t>
  </si>
  <si>
    <t>The entity equipped with regulatory functions uses data (monitoring data, audits and score cards) to guide performance management and apply effective enforcement (incentives and penalties) in the four areas of regulation mentioned in the previous statement.</t>
  </si>
  <si>
    <t>The regulator ensures that  service providers provide services to all (including women headed households, people with disabilities).</t>
  </si>
  <si>
    <t>There are governmental mechanisms to monitor progress towards climate change adaptation national targets, and there are publicly available commitments made at the international level that relate sanitation (e.g. NDCs; NAP).</t>
  </si>
  <si>
    <t>There is legislation and/or policy in place that clearly defines priorities and processes relating to water resources and effluent water quality management and regulation.</t>
  </si>
  <si>
    <t>There are national water resource management institutions in place and able to undertake their mandated functions for water resource management as it pertains to sanitation (catchment authorities and river basin authorities).</t>
  </si>
  <si>
    <t>There is national guidance in place for mechanisms or platforms that allow representation of sanitation service authorities and/or service providers  in water resource management bodies.</t>
  </si>
  <si>
    <t>Climate data and national (and local) projections have been used to conduct a risk assessment (with local actors leading the process) that considers different climate hazards, the level of exposure of infrastructure and population, as well as vulnerabilities of the sanitation sector (e.g. vulnerability mapping) in relation to climate change, and to prioritise interventions.</t>
  </si>
  <si>
    <t xml:space="preserve">There is a comprehensive national finance strategy, detailing the various strategies to reduce any funding gap, either fully incorporated into the health sector budget and finance strategy, or in the WASH sector budget and finance strategy. </t>
  </si>
  <si>
    <t>The project delivery models and procurement procedures for capital investments projects are clearly articulated in government-sanctioned implementation manuals. These are sufficiently differentiated for different types of HCFs.</t>
  </si>
  <si>
    <t>The guidelines/manuals provide designs suitable for women (including pregnant women), elderly, people with disabilities, adolescent girls and children and in-patients with specific needs.</t>
  </si>
  <si>
    <t>Water, sanitation and hygiene service delivery infrastructure development are based on locally-led risk analysis that addresses climate change factors and these mechanisms minimise population exposure to potential failure arising from climatic hazards in different contexts.</t>
  </si>
  <si>
    <t xml:space="preserve">Asset ownership of HCF WASH assets is clearly defined in laws and regulation. Roles and responsibilities related to O&amp;M and asset management of HCF WASH assets (e.g. between Ministry of Health and WASH-related ministry/ies) have been clearly defined. </t>
  </si>
  <si>
    <t xml:space="preserve">A up-to-date inventory (state or national level) exists of all (or most) HCF WASH assets, including age and current physical state of assets. The entity(ies) responsible for asset management have access to the asset data. </t>
  </si>
  <si>
    <t xml:space="preserve">All key HCF WASH related functions (policy development, infrastructure development, service delivery, service authority, regulation, monitoring and oversight, financing, water resources management, etc) are clearly assigned to specific institutions, without unfulfilled functions or unhelpful duplications. </t>
  </si>
  <si>
    <t xml:space="preserve">The assigned functions and mandates of the institutions are well-understood by the different stakeholders at both national and decentralised levels. </t>
  </si>
  <si>
    <t>Adequate and functional relationships and coordination mechanisms exist: 1) among national level sector-related institutions, 2) between national and decentralised institutions, 3) with water and sanitation service providers and authorities,  4) with health providers, health managers and infection, prevention and control divisions of HCFs</t>
  </si>
  <si>
    <t xml:space="preserve">Staffing requirements for national (ministries, departments) and decentralised  (districts, communities, HCF staff involved in WASH) bodies are clearly defined in both a quantitative (number of staff) and qualitative (profiles and skills including GESI) sense. These are adequate to fulfil all functions and all positions are filled. </t>
  </si>
  <si>
    <t xml:space="preserve">There are adequate national institutions, platforms and mechanisms for capacity building related to all aspects (building blocks, including sanitation and hygiene promotion, construction of water,  sanitation and hygiene facilities, financing, regulation etc) for HCF WASH. National HCF WASH stakeholders have access to and make use of these for continuous capacity improvement. </t>
  </si>
  <si>
    <t>An inter-ministerial/inter-departmental coordination mechanism exists between departments responsible for climate change, environment, agriculture, energy, water resources and those responsible for WASH in HCFs.</t>
  </si>
  <si>
    <t>There are institutionalised learning platforms and/or mechanisms at sector level which include HCF WASH (joint sector reviews, donor platforms, donor-government platforms, national learning alliance, thematic working groups, resource centres and sector web sites).</t>
  </si>
  <si>
    <t>The institutions working on HCF WASH are actively discussing, learning, and strategizing about how to address issues people that are left behind to ensure HCF WASH service delivery to all.</t>
  </si>
  <si>
    <t>The institutions working on HCF WASH are actively discussing, learning, and strategizing about how to integrate climate change risk reduction into water, sanitation and hygiene service delivery.</t>
  </si>
  <si>
    <t xml:space="preserve">There is a national monitoring framework for WASH in HCF. It covers service delivery in different contexts and is part of, links to, or is complemented by the water and sanitation monitoring information systems and health monitoring system. </t>
  </si>
  <si>
    <t xml:space="preserve">The monitoring systems include indicators related to the different components as per JMP definitions for basic water, sanitation, hygiene, solid waste management, environmental management (see https://washdata.org/monitoring/health-care-facilities). </t>
  </si>
  <si>
    <t>The monitoring systems actively cover the entire country (all HCFs).</t>
  </si>
  <si>
    <t xml:space="preserve">There is monitoring and documentation of priority climate hazards to HCF WASH infrastructure. There is a link between disaster reporting and climate adaptation planning. </t>
  </si>
  <si>
    <t>National planning mechanisms exist and they are based on a vision for reaching the HCF WASH targets (national or SDG) and a realistic understanding of costs and budgets. These mechanisms support coordinated planning among sector stakeholders (gov't, utilities, donors, etc)</t>
  </si>
  <si>
    <t>The national plans take into account different types of HCFs</t>
  </si>
  <si>
    <t xml:space="preserve">National plans and planning mechanisms include specification for WASH facilities suitable for women (including MHM), people with disability and in-patients with specific needs. </t>
  </si>
  <si>
    <t xml:space="preserve">A legal framework for HCF WASH is in place. </t>
  </si>
  <si>
    <t>National guidelines for development and management of HCF WASH services are in place.</t>
  </si>
  <si>
    <t>National WASH in HCFs Policy and Strategy is in place.</t>
  </si>
  <si>
    <t>Norms and standards for quality of works are in place.</t>
  </si>
  <si>
    <t>There is an entity responsible for monitoring and regulating that HCFs provide adequate WASH services in line with national standards and guidelines.</t>
  </si>
  <si>
    <t xml:space="preserve">There is a regulatory entity for HCF WASH services or regulatory functions delegated to sub-national institutions (e.g. through contracts). </t>
  </si>
  <si>
    <t>The entity equipped with regulatory functions uses data (monitoring data, audits and score cards) to guide regulation.</t>
  </si>
  <si>
    <t>There are national water resource management institutions in place and able to undertake their mandated functions for water resource management as it pertains to potable water supply (catchment authorities and river basin authorities) and sanitation for HCFs.</t>
  </si>
  <si>
    <t>District:</t>
  </si>
  <si>
    <t>Subnationa</t>
  </si>
  <si>
    <t>please select what is  included</t>
  </si>
  <si>
    <t>The nationally defined mechanisms for covering expenditure on the different cost categories (capital expenditure (hardware and software), capital maintenance expenditure, operational and minor maintenance expenditure, direct and indirect support and caital costs) are known, in place and applied at district level</t>
  </si>
  <si>
    <t xml:space="preserve">There is adequate funding in the district to enable implementation of plans according to schedule. </t>
  </si>
  <si>
    <t>Sanitation</t>
  </si>
  <si>
    <t xml:space="preserve">The district has a clear funding strategy for addressing the funding gaps. </t>
  </si>
  <si>
    <t>Hygiene</t>
  </si>
  <si>
    <t>There is sufficient absorption capacity for and a manageable gap between budget and disbursements to follow planning of  asset development.</t>
  </si>
  <si>
    <t>Health care facilities</t>
  </si>
  <si>
    <t>There are measures to prioritise WASH water supply in local level planning (earmarked budget).</t>
  </si>
  <si>
    <t>Schools</t>
  </si>
  <si>
    <t>The nationally defined considerations and subsidy mechanisms (block tariffs, cross subsidies between providers or other) are applied.These include provisions (e.g. subsidies) for marginalized communities who are poor/unable to afford connection charges/tariffs/etc.</t>
  </si>
  <si>
    <t xml:space="preserve">There is a comprehensive assessment of the cost of climate adaptation in the WASH sector under different scenarios, for example for prolonged droughts and more frequent floods. The funding gaps are estimated. </t>
  </si>
  <si>
    <t>The project delivery models and procurement and implementation manuals and procedures for capital investments projects are known and  followed at district level.</t>
  </si>
  <si>
    <t>The mechanisms and capacities for carrying out due diligence, regulation and control over procurement are in place and applied at the district (local) level.</t>
  </si>
  <si>
    <t xml:space="preserve">The guidelines for accessible facilities at the point of use for people with disabilities, old, pregnant women, etc, are understood and used at district level, and a known portion (%) of facilities are accessible in the district. </t>
  </si>
  <si>
    <t>Water and sanitation service delivery mechanisms are based on locally-led risk analysis that addresses climate change factors and  these mechanisms minimise population exposure to potential failure arising from climatic threats.</t>
  </si>
  <si>
    <t>Overall infrastructure management</t>
  </si>
  <si>
    <t>Asset ownership is defined in detail between service authority and service provider(s) following the national legal framework.</t>
  </si>
  <si>
    <t>An up-to-date inventory exists of all (or most) public/utility infrastructure assets, including age and current physical state of assets for the focus district, and the inventory is accessable to stakeholders at district level. [Note: this may vary per service delivery model and/or service provider (e.g. utility has is but community managers not), please indicate this in the explanation of your score]</t>
  </si>
  <si>
    <t>Roles and responsibilities related to asset management are clearly defined and known at district level, and service authority is fulfilling its role accordingly.</t>
  </si>
  <si>
    <t>The service authorities ensures that technical and/or financial support is available to service providers.</t>
  </si>
  <si>
    <t>Overall Institution building block</t>
  </si>
  <si>
    <t xml:space="preserve">The required institutional set-up for the different Service Delivery Models (in particular for the service authority and service provider roles) is in place. </t>
  </si>
  <si>
    <t>Service authorities and service providers have a formalised relationship for addressing accountability (contract, performance agreement and authorization).</t>
  </si>
  <si>
    <t xml:space="preserve">All the required staff positions of the service authority are filled. </t>
  </si>
  <si>
    <t>The service authority receives regular back-up or support from higher levels of government.</t>
  </si>
  <si>
    <t xml:space="preserve">District WASH stakeholders have access to and make use of capacity building institutions, mechanisms and platforms and, resulting in adequate capacity for undertaking roles and responsibilities.  </t>
  </si>
  <si>
    <t>Adequate and functional relationships and district-level coordination mechanisms exist among institutions at decentralised level</t>
  </si>
  <si>
    <t>At least one third of the staffing of decentralised bodies (district, service providers, community boards) include women and/or people from marginalized communities/with disabilities. Or/and Women and people from marginalized communities are part of decision making positions/platforms.</t>
  </si>
  <si>
    <t>Institutional roles and responsibilities for climate resilient WASH are clearly defined (for example between actors in the WASH, environment and climate change sectors)?</t>
  </si>
  <si>
    <t xml:space="preserve">There are institutionalised learning platforms that district level stakeholders participate in  (district stakeholder platform, thematic working groups, resource centres, national or provintial platforms that include district staff). </t>
  </si>
  <si>
    <t>These district learning mechanisms are linked to the national level.</t>
  </si>
  <si>
    <t>The institutions working with WASH are actively discussing, learning, and strategising about how to address issues of communities and people that are left behind to ensure WASH service delivery to all.</t>
  </si>
  <si>
    <t>The platforms are sufficiently representative of the different sector stakeholders, including epresentatives of groups/organizations working on rights of women, people with disabilities and marginalized communities.</t>
  </si>
  <si>
    <t>The institutions working with WASH are actively discussing, learning, and strategising about how to integrate climate change risk reduction into WASH delivery and ongoing management.</t>
  </si>
  <si>
    <t>The agreed national monitoring system(s) for the specific Service Delivery Models are in use in the district.</t>
  </si>
  <si>
    <t xml:space="preserve">The data from the monitoring system are analyzed and used at district level, e.g. for annual planning, investment planning, trends analysis, learning and adaptation, etc. </t>
  </si>
  <si>
    <t xml:space="preserve">The monitoring systems include both service delivery indicators (service level, insights into shit-flows through shit flow diagrams, service provider performance, service authority performance) and upstream systems strengthen (or sector performance) indicators. </t>
  </si>
  <si>
    <t>The total of monitoring systems in use cover the entire district (all communities, all service providers).</t>
  </si>
  <si>
    <t>The data in the monitoring system used at district level are regularly updated.</t>
  </si>
  <si>
    <t>The monitoring system captures disaggregated data (women, people with disabilities, marginalized communities)</t>
  </si>
  <si>
    <t xml:space="preserve">There is monitoring and documentation of priority climate hazards to water resources and water and sanitation infrastructure. There is a link between disaster reporting and climate adaptation planning. </t>
  </si>
  <si>
    <t xml:space="preserve">There are multi-annual WASH plan at district level, with a clear, joint vision, with targets that link to national targets. </t>
  </si>
  <si>
    <t xml:space="preserve">These plans take into account both new infrastructure (capital investment) and needs to ensure sustainable service delivery (recurrent costs including capital maintenance expenditure), with a reasonable indication of the required expenditure and sources of funding and financing. </t>
  </si>
  <si>
    <t>A consultation process with key stakeholders for making the plan is in place, including relevant stakeholders at multiple levels (national authorities, traditional leaders, development partners, water resource management bodies, etc)</t>
  </si>
  <si>
    <t>The planning process includes participation of people from marginalized communities (at least 1/3 women) - includes people with disabilities.</t>
  </si>
  <si>
    <t>District level WASH plans take into account equity (access) issues.</t>
  </si>
  <si>
    <t>Overal Policy and Legislation</t>
  </si>
  <si>
    <t>By-laws and ordinances for service delivery arrangements are in place.</t>
  </si>
  <si>
    <t>National sector legislation, policies, norms and standards, and guidelines are known by local stakeholders.</t>
  </si>
  <si>
    <t>The district level service authority are aware of the policy provisions to ensure no one is left behind, and support their implementation.</t>
  </si>
  <si>
    <t xml:space="preserve">The entity equipped with regulatory functions undertakes (1) tariff regulations, (2) service provider performance regulation, (3) consumer protections, (4) water quality regulation. (5) environmental regulation, and applies effective enforcement (incentives, penalties)
</t>
  </si>
  <si>
    <t>The entity equipped with regulatory functions uses monitoring data to guide performance management, and applies effective enforcement (incentives, penalties) in the four / five areas of regulation.</t>
  </si>
  <si>
    <t xml:space="preserve">Mechanism and platforms for citizens and/or Civil Society Organisations  to be informed and to be consulted on service delivery issues and to hold service providers to account is in place. This includes involvement of women and people with disabilities. 
</t>
  </si>
  <si>
    <t>There governmental mechanisms to monitor progress towards climate change adaptation national targets related to the water and sanitation (e.g. NDCs; NAP) and the district aware of these commitments.</t>
  </si>
  <si>
    <t>Overall  Water Resource Management</t>
  </si>
  <si>
    <t>Service providers in the district plan for and carry out source protection and preservation activities such as water safety and water security plans.</t>
  </si>
  <si>
    <t>Service providers and/or the service authority are able to engage with water resource management decision making at catchment or basin level.</t>
  </si>
  <si>
    <t>Water Resource Management instruments such as abstraction permits, abstraction fees and disposal license are applied.</t>
  </si>
  <si>
    <t>There are mechanisms in place for managing any conflicts or rather synergies between users of water for drinking and other uses (such as agriculture and livestock) that minimise the effect of the performance of schemes (such as Multiple Use Systems).</t>
  </si>
  <si>
    <t xml:space="preserve">The local platforms for water resources include representatives of relavent groups - women's groups, farmers, communities marginalized, people with disabilities who are dependent on water for domestic and livelihood purposes, etc. to ensure needs are considered  </t>
  </si>
  <si>
    <t>Service providers and/or authorities develop and expand the water supply and sanitation infrastructure, taking into account water resource availability and variability, including vulnerability to extreme events, as well as impact on receiving water bodies.</t>
  </si>
  <si>
    <t>Climate data and district level projections have been used to conduct a risk assessment (with local actors leading the process) that considers different climate hazards, the level of exposure of infrastructure and population, as well as vulnerabilities of the water and sanitation sector (e.g. vulnerability mapping) in relation to climate change, and to prioritise interventions.</t>
  </si>
  <si>
    <t>WASH Systems Index, per year</t>
  </si>
  <si>
    <t>HCF</t>
  </si>
  <si>
    <t>Index indicator 1</t>
  </si>
  <si>
    <t>Index indicator 2</t>
  </si>
  <si>
    <t>Index indicator 3</t>
  </si>
  <si>
    <t>Average all building blocks (exclude KPI)</t>
  </si>
  <si>
    <t>Lowest performer</t>
  </si>
  <si>
    <t>Best performer</t>
  </si>
  <si>
    <t>Rating baseline</t>
  </si>
  <si>
    <t>District</t>
  </si>
  <si>
    <t xml:space="preserve"> This tool is designed to capture the discussion and documenting the results of the WASH Systems Index. It covers several benchmarks for assessing the status of WASH systems building blocks, along with three WASH Systems KPIs. These three cross-cutting KPIs are Climate resilience, Capacity and GESI (gender, equity and social inclusion).</t>
  </si>
  <si>
    <t>Important note</t>
  </si>
  <si>
    <r>
      <rPr>
        <b/>
        <sz val="11"/>
        <color theme="1"/>
        <rFont val="VAG Rounded Std Thin"/>
      </rPr>
      <t xml:space="preserve">The password to unprotect sheets is (all lower case letters): </t>
    </r>
    <r>
      <rPr>
        <sz val="11"/>
        <color theme="1"/>
        <rFont val="VAG Rounded Std Thin"/>
        <family val="2"/>
      </rPr>
      <t>water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</si>
</sst>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 #,##0.00_-;_-* &quot;-&quot;??_-;_-@_-"/>
    <numFmt numFmtId="165" formatCode="0.0"/>
    <numFmt numFmtId="166" formatCode="0%;\-0%;;@"/>
  </numFmts>
  <fonts count="5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u/>
      <sz val="12"/>
      <color theme="10"/>
      <name val="Calibri"/>
      <family val="2"/>
      <scheme val="minor"/>
    </font>
    <font>
      <u/>
      <sz val="12"/>
      <color theme="11"/>
      <name val="Calibri"/>
      <family val="2"/>
      <scheme val="minor"/>
    </font>
    <font>
      <sz val="11"/>
      <color indexed="8"/>
      <name val="Calibri"/>
      <family val="2"/>
    </font>
    <font>
      <sz val="12"/>
      <color theme="1"/>
      <name val="Calibri"/>
      <family val="2"/>
      <scheme val="minor"/>
    </font>
    <font>
      <sz val="11"/>
      <color theme="1"/>
      <name val="VAG Rounded Std Thin"/>
      <family val="2"/>
    </font>
    <font>
      <b/>
      <sz val="19"/>
      <color rgb="FF007E97"/>
      <name val="VAG Rounded Std Thin"/>
      <family val="2"/>
    </font>
    <font>
      <b/>
      <sz val="14"/>
      <color rgb="FF007E97"/>
      <name val="VAG Rounded Std Thin"/>
      <family val="2"/>
    </font>
    <font>
      <sz val="8"/>
      <name val="Calibri"/>
      <family val="2"/>
      <scheme val="minor"/>
    </font>
    <font>
      <b/>
      <sz val="10"/>
      <color theme="1"/>
      <name val="Calibri"/>
      <family val="2"/>
      <scheme val="minor"/>
    </font>
    <font>
      <b/>
      <sz val="11"/>
      <color theme="0"/>
      <name val="Calibri Light"/>
      <family val="2"/>
    </font>
    <font>
      <sz val="10"/>
      <name val="Calibri"/>
      <family val="2"/>
      <scheme val="minor"/>
    </font>
    <font>
      <sz val="12"/>
      <color rgb="FF000000"/>
      <name val="Calibri"/>
      <family val="2"/>
    </font>
    <font>
      <b/>
      <sz val="12"/>
      <color rgb="FF000000"/>
      <name val="Calibri"/>
      <family val="2"/>
    </font>
    <font>
      <b/>
      <sz val="11"/>
      <color rgb="FFFFFFFF"/>
      <name val="Calibri"/>
      <family val="2"/>
      <scheme val="minor"/>
    </font>
    <font>
      <sz val="10"/>
      <color theme="0"/>
      <name val="Calibri"/>
      <family val="2"/>
      <scheme val="minor"/>
    </font>
    <font>
      <b/>
      <sz val="10"/>
      <color theme="0"/>
      <name val="Calibri"/>
      <family val="2"/>
      <scheme val="minor"/>
    </font>
    <font>
      <b/>
      <sz val="14"/>
      <color theme="0"/>
      <name val="Calibri Light"/>
      <family val="2"/>
    </font>
    <font>
      <sz val="12"/>
      <color rgb="FF000000"/>
      <name val="Calibri"/>
      <family val="2"/>
      <scheme val="minor"/>
    </font>
    <font>
      <sz val="12"/>
      <color theme="0"/>
      <name val="Calibri"/>
      <family val="2"/>
      <scheme val="minor"/>
    </font>
    <font>
      <b/>
      <sz val="14"/>
      <color theme="0"/>
      <name val="Calibri"/>
      <family val="2"/>
      <scheme val="minor"/>
    </font>
    <font>
      <b/>
      <sz val="12"/>
      <color theme="1"/>
      <name val="Calibri"/>
      <family val="2"/>
      <scheme val="minor"/>
    </font>
    <font>
      <b/>
      <sz val="14"/>
      <color theme="1"/>
      <name val="VAG Rounded Std Thin"/>
      <family val="2"/>
    </font>
    <font>
      <i/>
      <sz val="12"/>
      <color theme="1"/>
      <name val="Calibri"/>
      <family val="2"/>
      <scheme val="minor"/>
    </font>
    <font>
      <sz val="10"/>
      <name val="Calibri"/>
      <family val="2"/>
    </font>
    <font>
      <strike/>
      <sz val="10"/>
      <name val="Calibri"/>
      <family val="2"/>
      <scheme val="minor"/>
    </font>
    <font>
      <sz val="11"/>
      <name val="Calibri"/>
      <family val="2"/>
    </font>
    <font>
      <sz val="12"/>
      <name val="Calibri"/>
      <family val="2"/>
      <scheme val="minor"/>
    </font>
    <font>
      <b/>
      <sz val="11"/>
      <color theme="1"/>
      <name val="Calibri"/>
      <family val="2"/>
      <scheme val="minor"/>
    </font>
    <font>
      <i/>
      <sz val="11"/>
      <color theme="1"/>
      <name val="Calibri"/>
      <family val="2"/>
      <scheme val="minor"/>
    </font>
    <font>
      <sz val="10"/>
      <color rgb="FF000000"/>
      <name val="Calibri"/>
      <family val="2"/>
      <scheme val="minor"/>
    </font>
    <font>
      <u/>
      <sz val="11"/>
      <color rgb="FF000000"/>
      <name val="Calibri"/>
      <family val="2"/>
    </font>
    <font>
      <sz val="10"/>
      <color rgb="FF000000"/>
      <name val="Calibri"/>
      <family val="2"/>
    </font>
    <font>
      <sz val="11"/>
      <color rgb="FF000000"/>
      <name val="Calibri"/>
      <family val="2"/>
    </font>
    <font>
      <sz val="12"/>
      <color rgb="FF95F9F7"/>
      <name val="Calibri"/>
      <family val="2"/>
      <scheme val="minor"/>
    </font>
    <font>
      <b/>
      <i/>
      <sz val="12"/>
      <name val="Calibri"/>
      <family val="2"/>
      <scheme val="minor"/>
    </font>
    <font>
      <b/>
      <sz val="11"/>
      <name val="Calibri"/>
      <family val="2"/>
      <scheme val="minor"/>
    </font>
    <font>
      <b/>
      <sz val="9"/>
      <color indexed="81"/>
      <name val="Tahoma"/>
      <family val="2"/>
    </font>
    <font>
      <b/>
      <sz val="11"/>
      <color theme="1"/>
      <name val="VAG Rounded Std Thin"/>
    </font>
    <font>
      <sz val="11"/>
      <color theme="1"/>
      <name val="VAG Rounded Std Thin"/>
    </font>
  </fonts>
  <fills count="26">
    <fill>
      <patternFill patternType="none"/>
    </fill>
    <fill>
      <patternFill patternType="gray125"/>
    </fill>
    <fill>
      <patternFill patternType="solid">
        <fgColor rgb="FF0B888B"/>
        <bgColor indexed="64"/>
      </patternFill>
    </fill>
    <fill>
      <patternFill patternType="solid">
        <fgColor rgb="FF95F9F7"/>
        <bgColor indexed="64"/>
      </patternFill>
    </fill>
    <fill>
      <patternFill patternType="solid">
        <fgColor rgb="FFEDA9A0"/>
        <bgColor indexed="64"/>
      </patternFill>
    </fill>
    <fill>
      <patternFill patternType="solid">
        <fgColor rgb="FF4472C4"/>
        <bgColor rgb="FF4472C4"/>
      </patternFill>
    </fill>
    <fill>
      <patternFill patternType="solid">
        <fgColor theme="5" tint="0.79998168889431442"/>
        <bgColor indexed="64"/>
      </patternFill>
    </fill>
    <fill>
      <patternFill patternType="solid">
        <fgColor rgb="FF0C426A"/>
        <bgColor indexed="64"/>
      </patternFill>
    </fill>
    <fill>
      <patternFill patternType="solid">
        <fgColor theme="0" tint="-0.14999847407452621"/>
        <bgColor indexed="64"/>
      </patternFill>
    </fill>
    <fill>
      <patternFill patternType="solid">
        <fgColor theme="4" tint="0.59999389629810485"/>
        <bgColor theme="4" tint="0.59999389629810485"/>
      </patternFill>
    </fill>
    <fill>
      <patternFill patternType="solid">
        <fgColor theme="9" tint="-0.249977111117893"/>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369044"/>
        <bgColor indexed="64"/>
      </patternFill>
    </fill>
    <fill>
      <patternFill patternType="solid">
        <fgColor rgb="FF92D050"/>
        <bgColor indexed="64"/>
      </patternFill>
    </fill>
    <fill>
      <patternFill patternType="solid">
        <fgColor rgb="FF0070C0"/>
        <bgColor indexed="64"/>
      </patternFill>
    </fill>
    <fill>
      <patternFill patternType="solid">
        <fgColor theme="6"/>
        <bgColor indexed="64"/>
      </patternFill>
    </fill>
    <fill>
      <patternFill patternType="solid">
        <fgColor theme="4"/>
        <bgColor indexed="64"/>
      </patternFill>
    </fill>
    <fill>
      <patternFill patternType="solid">
        <fgColor theme="0" tint="-4.9989318521683403E-2"/>
        <bgColor indexed="64"/>
      </patternFill>
    </fill>
    <fill>
      <patternFill patternType="solid">
        <fgColor rgb="FF95F9F7"/>
        <bgColor rgb="FF4472C4"/>
      </patternFill>
    </fill>
    <fill>
      <patternFill patternType="solid">
        <fgColor theme="8" tint="-0.499984740745262"/>
        <bgColor indexed="64"/>
      </patternFill>
    </fill>
    <fill>
      <patternFill patternType="solid">
        <fgColor theme="0" tint="-0.14996795556505021"/>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1C6575"/>
      </left>
      <right style="thin">
        <color rgb="FF1C6575"/>
      </right>
      <top style="thin">
        <color rgb="FF1C6575"/>
      </top>
      <bottom style="thin">
        <color rgb="FF1C6575"/>
      </bottom>
      <diagonal/>
    </border>
    <border>
      <left style="thin">
        <color rgb="FF1C6575"/>
      </left>
      <right/>
      <top style="thin">
        <color rgb="FF1C6575"/>
      </top>
      <bottom/>
      <diagonal/>
    </border>
    <border>
      <left/>
      <right style="thin">
        <color rgb="FF1C6575"/>
      </right>
      <top style="thin">
        <color rgb="FF1C6575"/>
      </top>
      <bottom/>
      <diagonal/>
    </border>
    <border>
      <left style="thin">
        <color rgb="FF0B888B"/>
      </left>
      <right style="thin">
        <color rgb="FF0B888B"/>
      </right>
      <top style="thin">
        <color indexed="64"/>
      </top>
      <bottom style="thin">
        <color indexed="64"/>
      </bottom>
      <diagonal/>
    </border>
    <border>
      <left style="thick">
        <color theme="8" tint="-0.24994659260841701"/>
      </left>
      <right style="thick">
        <color theme="8" tint="-0.24994659260841701"/>
      </right>
      <top style="thick">
        <color theme="8" tint="-0.24994659260841701"/>
      </top>
      <bottom style="thick">
        <color theme="8" tint="-0.24994659260841701"/>
      </bottom>
      <diagonal/>
    </border>
    <border>
      <left style="thick">
        <color theme="8" tint="-0.24994659260841701"/>
      </left>
      <right style="thick">
        <color theme="8" tint="-0.24994659260841701"/>
      </right>
      <top style="thick">
        <color theme="8" tint="-0.24994659260841701"/>
      </top>
      <bottom/>
      <diagonal/>
    </border>
    <border>
      <left style="thin">
        <color indexed="64"/>
      </left>
      <right style="thin">
        <color rgb="FF0B888B"/>
      </right>
      <top style="thin">
        <color indexed="64"/>
      </top>
      <bottom style="thin">
        <color indexed="64"/>
      </bottom>
      <diagonal/>
    </border>
    <border>
      <left style="thin">
        <color indexed="64"/>
      </left>
      <right style="thin">
        <color indexed="64"/>
      </right>
      <top style="thin">
        <color theme="9" tint="0.79998168889431442"/>
      </top>
      <bottom style="thin">
        <color theme="9" tint="0.79998168889431442"/>
      </bottom>
      <diagonal/>
    </border>
    <border>
      <left style="thin">
        <color indexed="64"/>
      </left>
      <right/>
      <top style="thin">
        <color indexed="64"/>
      </top>
      <bottom/>
      <diagonal/>
    </border>
    <border>
      <left style="thin">
        <color rgb="FF0B888B"/>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theme="0"/>
      </bottom>
      <diagonal/>
    </border>
    <border>
      <left style="thin">
        <color indexed="64"/>
      </left>
      <right style="thin">
        <color theme="6"/>
      </right>
      <top style="thin">
        <color indexed="64"/>
      </top>
      <bottom style="thin">
        <color indexed="64"/>
      </bottom>
      <diagonal/>
    </border>
    <border>
      <left style="thin">
        <color theme="6"/>
      </left>
      <right style="thin">
        <color theme="6"/>
      </right>
      <top style="thin">
        <color indexed="64"/>
      </top>
      <bottom style="thin">
        <color indexed="64"/>
      </bottom>
      <diagonal/>
    </border>
    <border>
      <left style="thin">
        <color theme="6"/>
      </left>
      <right style="thin">
        <color indexed="64"/>
      </right>
      <top style="thin">
        <color indexed="64"/>
      </top>
      <bottom style="thin">
        <color indexed="64"/>
      </bottom>
      <diagonal/>
    </border>
    <border>
      <left style="thin">
        <color rgb="FF0B888B"/>
      </left>
      <right style="thin">
        <color indexed="64"/>
      </right>
      <top style="thin">
        <color indexed="64"/>
      </top>
      <bottom style="thin">
        <color indexed="64"/>
      </bottom>
      <diagonal/>
    </border>
    <border>
      <left style="thin">
        <color rgb="FF0B888B"/>
      </left>
      <right style="thin">
        <color theme="1"/>
      </right>
      <top style="thin">
        <color indexed="64"/>
      </top>
      <bottom style="thin">
        <color indexed="64"/>
      </bottom>
      <diagonal/>
    </border>
    <border>
      <left style="thin">
        <color indexed="64"/>
      </left>
      <right/>
      <top style="thin">
        <color theme="9" tint="0.79998168889431442"/>
      </top>
      <bottom style="thin">
        <color theme="9" tint="0.79998168889431442"/>
      </bottom>
      <diagonal/>
    </border>
    <border>
      <left style="thin">
        <color theme="0" tint="-4.9989318521683403E-2"/>
      </left>
      <right style="thin">
        <color indexed="64"/>
      </right>
      <top style="thin">
        <color indexed="64"/>
      </top>
      <bottom style="thin">
        <color theme="0" tint="-4.9989318521683403E-2"/>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theme="0" tint="-4.9989318521683403E-2"/>
      </left>
      <right style="thin">
        <color indexed="64"/>
      </right>
      <top style="thin">
        <color theme="0" tint="-4.9989318521683403E-2"/>
      </top>
      <bottom style="thin">
        <color indexed="64"/>
      </bottom>
      <diagonal/>
    </border>
    <border>
      <left style="thin">
        <color indexed="64"/>
      </left>
      <right style="thin">
        <color theme="0" tint="-4.9989318521683403E-2"/>
      </right>
      <top style="thin">
        <color theme="0" tint="-4.9989318521683403E-2"/>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theme="0" tint="-4.9989318521683403E-2"/>
      </right>
      <top style="thin">
        <color theme="0" tint="-4.9989318521683403E-2"/>
      </top>
      <bottom/>
      <diagonal/>
    </border>
    <border>
      <left style="thin">
        <color indexed="64"/>
      </left>
      <right style="thin">
        <color theme="0" tint="-4.9989318521683403E-2"/>
      </right>
      <top/>
      <bottom style="thin">
        <color theme="0" tint="-4.9989318521683403E-2"/>
      </bottom>
      <diagonal/>
    </border>
    <border>
      <left style="thin">
        <color indexed="64"/>
      </left>
      <right/>
      <top/>
      <bottom style="thin">
        <color theme="9" tint="0.79998168889431442"/>
      </bottom>
      <diagonal/>
    </border>
    <border>
      <left style="thin">
        <color indexed="64"/>
      </left>
      <right/>
      <top style="thin">
        <color theme="9" tint="0.79998168889431442"/>
      </top>
      <bottom/>
      <diagonal/>
    </border>
  </borders>
  <cellStyleXfs count="25">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Fill="0" applyProtection="0"/>
    <xf numFmtId="0" fontId="9" fillId="0" borderId="0"/>
    <xf numFmtId="0" fontId="8" fillId="0" borderId="0"/>
    <xf numFmtId="0" fontId="7" fillId="0" borderId="0"/>
    <xf numFmtId="164" fontId="7" fillId="0" borderId="0" applyFont="0" applyFill="0" applyBorder="0" applyAlignment="0" applyProtection="0"/>
    <xf numFmtId="0" fontId="6" fillId="0" borderId="0"/>
    <xf numFmtId="9" fontId="14" fillId="0" borderId="0" applyFont="0" applyFill="0" applyBorder="0" applyAlignment="0" applyProtection="0"/>
    <xf numFmtId="0" fontId="5" fillId="0" borderId="0"/>
    <xf numFmtId="0" fontId="4" fillId="0" borderId="0"/>
    <xf numFmtId="9" fontId="4" fillId="0" borderId="0" applyFont="0" applyFill="0" applyBorder="0" applyAlignment="0" applyProtection="0"/>
    <xf numFmtId="0" fontId="11" fillId="0" borderId="0" applyNumberFormat="0" applyFill="0" applyBorder="0" applyAlignment="0" applyProtection="0"/>
    <xf numFmtId="0" fontId="3" fillId="0" borderId="0"/>
    <xf numFmtId="0" fontId="2" fillId="0" borderId="0"/>
    <xf numFmtId="0" fontId="1" fillId="0" borderId="0"/>
  </cellStyleXfs>
  <cellXfs count="167">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16" fillId="0" borderId="0" xfId="0" applyFont="1" applyAlignment="1">
      <alignment horizontal="left"/>
    </xf>
    <xf numFmtId="0" fontId="17" fillId="0" borderId="0" xfId="0" applyFont="1" applyAlignment="1">
      <alignment horizontal="left"/>
    </xf>
    <xf numFmtId="0" fontId="15" fillId="0" borderId="0" xfId="0" applyFont="1" applyAlignment="1">
      <alignment horizontal="left" vertical="top" wrapText="1"/>
    </xf>
    <xf numFmtId="0" fontId="4" fillId="0" borderId="0" xfId="19"/>
    <xf numFmtId="9" fontId="0" fillId="0" borderId="0" xfId="0" applyNumberFormat="1"/>
    <xf numFmtId="0" fontId="23" fillId="4" borderId="0" xfId="0" applyFont="1" applyFill="1" applyAlignment="1">
      <alignment readingOrder="1"/>
    </xf>
    <xf numFmtId="0" fontId="20" fillId="2" borderId="3" xfId="19" applyFont="1" applyFill="1" applyBorder="1" applyAlignment="1">
      <alignment horizontal="left" vertical="center" wrapText="1"/>
    </xf>
    <xf numFmtId="165" fontId="0" fillId="0" borderId="0" xfId="0" applyNumberFormat="1" applyAlignment="1">
      <alignment horizontal="center" vertical="center"/>
    </xf>
    <xf numFmtId="0" fontId="0" fillId="0" borderId="0" xfId="0" applyAlignment="1">
      <alignment vertical="center"/>
    </xf>
    <xf numFmtId="0" fontId="24" fillId="5" borderId="0" xfId="0" applyFont="1" applyFill="1" applyAlignment="1">
      <alignment wrapText="1"/>
    </xf>
    <xf numFmtId="0" fontId="24" fillId="5" borderId="0" xfId="0" applyFont="1" applyFill="1" applyAlignment="1">
      <alignment horizontal="center" vertical="center" wrapText="1"/>
    </xf>
    <xf numFmtId="0" fontId="25" fillId="7" borderId="0" xfId="0" applyFont="1" applyFill="1" applyAlignment="1">
      <alignment vertical="center"/>
    </xf>
    <xf numFmtId="0" fontId="26" fillId="7" borderId="0" xfId="0" applyFont="1" applyFill="1" applyAlignment="1">
      <alignment horizontal="center" vertical="center"/>
    </xf>
    <xf numFmtId="0" fontId="27" fillId="7" borderId="0" xfId="0" applyFont="1" applyFill="1" applyAlignment="1">
      <alignment vertical="center"/>
    </xf>
    <xf numFmtId="0" fontId="10" fillId="7" borderId="0" xfId="0" applyFont="1" applyFill="1" applyAlignment="1">
      <alignment vertical="center"/>
    </xf>
    <xf numFmtId="0" fontId="0" fillId="7" borderId="0" xfId="0" applyFill="1"/>
    <xf numFmtId="0" fontId="0" fillId="7" borderId="0" xfId="0" applyFill="1" applyAlignment="1">
      <alignment horizontal="center" vertical="center"/>
    </xf>
    <xf numFmtId="0" fontId="0" fillId="7" borderId="0" xfId="0" applyFill="1" applyAlignment="1">
      <alignment horizontal="left" vertical="center" wrapText="1"/>
    </xf>
    <xf numFmtId="0" fontId="0" fillId="7" borderId="0" xfId="0" applyFill="1" applyAlignment="1">
      <alignment horizontal="left" vertical="center"/>
    </xf>
    <xf numFmtId="0" fontId="0" fillId="8" borderId="0" xfId="0" applyFill="1"/>
    <xf numFmtId="0" fontId="25" fillId="10" borderId="0" xfId="0" applyFont="1" applyFill="1" applyAlignment="1">
      <alignment vertical="center"/>
    </xf>
    <xf numFmtId="0" fontId="0" fillId="10" borderId="0" xfId="0" applyFill="1"/>
    <xf numFmtId="0" fontId="26" fillId="10" borderId="0" xfId="0" applyFont="1" applyFill="1" applyAlignment="1">
      <alignment horizontal="center" vertical="center"/>
    </xf>
    <xf numFmtId="0" fontId="27" fillId="10" borderId="0" xfId="0" applyFont="1" applyFill="1" applyAlignment="1">
      <alignment vertical="center"/>
    </xf>
    <xf numFmtId="0" fontId="0" fillId="9" borderId="1" xfId="0" applyFill="1" applyBorder="1" applyAlignment="1">
      <alignment horizontal="center" vertical="center" wrapText="1"/>
    </xf>
    <xf numFmtId="0" fontId="0" fillId="10" borderId="0" xfId="0" applyFill="1" applyAlignment="1">
      <alignment horizontal="center"/>
    </xf>
    <xf numFmtId="0" fontId="29" fillId="0" borderId="0" xfId="0" applyFont="1"/>
    <xf numFmtId="0" fontId="23" fillId="4" borderId="7" xfId="0" applyFont="1" applyFill="1" applyBorder="1" applyAlignment="1">
      <alignment readingOrder="1"/>
    </xf>
    <xf numFmtId="0" fontId="23" fillId="4" borderId="8" xfId="0" applyFont="1" applyFill="1" applyBorder="1" applyAlignment="1">
      <alignment readingOrder="1"/>
    </xf>
    <xf numFmtId="0" fontId="22" fillId="0" borderId="6" xfId="0" applyFont="1" applyBorder="1" applyAlignment="1">
      <alignment horizontal="left" vertical="center" wrapText="1" readingOrder="1"/>
    </xf>
    <xf numFmtId="0" fontId="28" fillId="0" borderId="6" xfId="0" applyFont="1" applyBorder="1" applyAlignment="1">
      <alignment horizontal="left" vertical="center" wrapText="1" readingOrder="1"/>
    </xf>
    <xf numFmtId="0" fontId="0" fillId="6" borderId="0" xfId="0" applyFill="1" applyAlignment="1">
      <alignment horizontal="center" vertical="center" wrapText="1"/>
    </xf>
    <xf numFmtId="0" fontId="15" fillId="0" borderId="0" xfId="0" applyFont="1" applyAlignment="1">
      <alignment horizontal="left" vertical="center" wrapText="1"/>
    </xf>
    <xf numFmtId="0" fontId="0" fillId="12" borderId="0" xfId="0" applyFill="1" applyAlignment="1">
      <alignment horizontal="left" vertical="center" wrapText="1"/>
    </xf>
    <xf numFmtId="0" fontId="0" fillId="12" borderId="0" xfId="0" applyFill="1" applyAlignment="1">
      <alignment horizontal="left" vertical="center"/>
    </xf>
    <xf numFmtId="0" fontId="0" fillId="12" borderId="0" xfId="0" applyFill="1" applyAlignment="1">
      <alignment horizontal="center" vertical="center" wrapText="1"/>
    </xf>
    <xf numFmtId="0" fontId="0" fillId="12" borderId="0" xfId="0" applyFill="1" applyAlignment="1">
      <alignment horizontal="center" vertical="center"/>
    </xf>
    <xf numFmtId="0" fontId="0" fillId="0" borderId="3" xfId="0" applyBorder="1" applyAlignment="1">
      <alignment horizontal="left"/>
    </xf>
    <xf numFmtId="0" fontId="0" fillId="0" borderId="0" xfId="0" applyAlignment="1">
      <alignment horizontal="left"/>
    </xf>
    <xf numFmtId="0" fontId="0" fillId="0" borderId="3" xfId="0" applyBorder="1" applyAlignment="1">
      <alignment horizontal="left" vertical="center" wrapText="1"/>
    </xf>
    <xf numFmtId="0" fontId="31" fillId="13" borderId="3" xfId="0" applyFont="1" applyFill="1" applyBorder="1" applyAlignment="1">
      <alignment horizontal="left" vertical="center" wrapText="1"/>
    </xf>
    <xf numFmtId="0" fontId="32" fillId="0" borderId="0" xfId="0" applyFont="1" applyAlignment="1">
      <alignment horizontal="left"/>
    </xf>
    <xf numFmtId="0" fontId="0" fillId="12" borderId="0" xfId="0" applyFill="1" applyAlignment="1">
      <alignment horizontal="center"/>
    </xf>
    <xf numFmtId="0" fontId="30" fillId="10" borderId="0" xfId="0" applyFont="1" applyFill="1" applyAlignment="1">
      <alignment vertical="center"/>
    </xf>
    <xf numFmtId="0" fontId="0" fillId="15" borderId="3" xfId="0" applyFill="1" applyBorder="1" applyAlignment="1">
      <alignment horizontal="left" vertical="center" wrapText="1"/>
    </xf>
    <xf numFmtId="0" fontId="0" fillId="15" borderId="3" xfId="0" applyFill="1" applyBorder="1" applyAlignment="1">
      <alignment horizontal="left"/>
    </xf>
    <xf numFmtId="0" fontId="31" fillId="14" borderId="3" xfId="0" applyFont="1" applyFill="1" applyBorder="1" applyAlignment="1">
      <alignment horizontal="left" vertical="center" wrapText="1"/>
    </xf>
    <xf numFmtId="0" fontId="31" fillId="0" borderId="0" xfId="0" applyFont="1"/>
    <xf numFmtId="0" fontId="27" fillId="10" borderId="0" xfId="0" applyFont="1" applyFill="1" applyAlignment="1">
      <alignment horizontal="right" vertical="center"/>
    </xf>
    <xf numFmtId="0" fontId="31" fillId="0" borderId="3" xfId="0" applyFont="1" applyBorder="1" applyAlignment="1">
      <alignment horizontal="left" vertical="center" wrapText="1"/>
    </xf>
    <xf numFmtId="0" fontId="31" fillId="15" borderId="3" xfId="0" applyFont="1" applyFill="1" applyBorder="1" applyAlignment="1">
      <alignment horizontal="left" vertical="center" wrapText="1"/>
    </xf>
    <xf numFmtId="0" fontId="31" fillId="13" borderId="3" xfId="0" applyFont="1" applyFill="1" applyBorder="1" applyAlignment="1">
      <alignment horizontal="right" vertical="center"/>
    </xf>
    <xf numFmtId="0" fontId="0" fillId="15" borderId="3" xfId="0" applyFill="1" applyBorder="1" applyAlignment="1">
      <alignment horizontal="right" vertical="center"/>
    </xf>
    <xf numFmtId="0" fontId="0" fillId="0" borderId="3" xfId="0" applyBorder="1" applyAlignment="1">
      <alignment horizontal="right" vertical="center"/>
    </xf>
    <xf numFmtId="0" fontId="0" fillId="15" borderId="3" xfId="0" applyFill="1" applyBorder="1" applyAlignment="1">
      <alignment horizontal="right" vertical="center" wrapText="1"/>
    </xf>
    <xf numFmtId="0" fontId="0" fillId="0" borderId="3" xfId="0" applyBorder="1" applyAlignment="1">
      <alignment horizontal="right" vertical="center" wrapText="1"/>
    </xf>
    <xf numFmtId="0" fontId="0" fillId="0" borderId="0" xfId="0" applyAlignment="1">
      <alignment horizontal="right" vertical="center"/>
    </xf>
    <xf numFmtId="0" fontId="33" fillId="0" borderId="0" xfId="0" applyFont="1"/>
    <xf numFmtId="0" fontId="0" fillId="12" borderId="0" xfId="0" applyFill="1" applyAlignment="1">
      <alignment horizontal="right" vertical="center" wrapText="1"/>
    </xf>
    <xf numFmtId="0" fontId="11" fillId="16" borderId="0" xfId="21" applyFill="1" applyAlignment="1">
      <alignment horizontal="center" vertical="center"/>
    </xf>
    <xf numFmtId="0" fontId="0" fillId="0" borderId="3" xfId="0" applyBorder="1" applyAlignment="1">
      <alignment wrapText="1"/>
    </xf>
    <xf numFmtId="0" fontId="0" fillId="0" borderId="3" xfId="0" applyBorder="1" applyAlignment="1">
      <alignment horizontal="left" vertical="top" wrapText="1"/>
    </xf>
    <xf numFmtId="0" fontId="31" fillId="0" borderId="0" xfId="0" applyFont="1" applyAlignment="1">
      <alignment vertical="center"/>
    </xf>
    <xf numFmtId="9" fontId="0" fillId="0" borderId="3" xfId="0" applyNumberFormat="1" applyBorder="1" applyAlignment="1">
      <alignment horizontal="center" vertical="center"/>
    </xf>
    <xf numFmtId="0" fontId="31" fillId="14" borderId="3" xfId="0" applyFont="1" applyFill="1" applyBorder="1" applyAlignment="1">
      <alignment horizontal="right" vertical="center" wrapText="1"/>
    </xf>
    <xf numFmtId="0" fontId="0" fillId="17" borderId="1" xfId="0" applyFill="1" applyBorder="1" applyAlignment="1">
      <alignment horizontal="left" vertical="center"/>
    </xf>
    <xf numFmtId="0" fontId="0" fillId="18" borderId="1" xfId="0" applyFill="1" applyBorder="1" applyAlignment="1">
      <alignment horizontal="left" vertical="center"/>
    </xf>
    <xf numFmtId="9" fontId="10" fillId="0" borderId="3" xfId="0" applyNumberFormat="1" applyFont="1" applyBorder="1" applyAlignment="1">
      <alignment horizontal="center" vertical="center" wrapText="1"/>
    </xf>
    <xf numFmtId="0" fontId="0" fillId="0" borderId="0" xfId="0" applyAlignment="1" applyProtection="1">
      <alignment vertical="center"/>
      <protection locked="0"/>
    </xf>
    <xf numFmtId="0" fontId="0" fillId="0" borderId="3" xfId="0" applyBorder="1" applyAlignment="1" applyProtection="1">
      <alignment horizontal="left" vertical="center" wrapText="1"/>
      <protection locked="0"/>
    </xf>
    <xf numFmtId="0" fontId="20" fillId="2" borderId="3" xfId="22" applyFont="1" applyFill="1" applyBorder="1" applyAlignment="1">
      <alignment horizontal="left" vertical="center" wrapText="1"/>
    </xf>
    <xf numFmtId="0" fontId="20" fillId="2" borderId="5" xfId="22" applyFont="1" applyFill="1" applyBorder="1" applyAlignment="1">
      <alignment horizontal="left" vertical="center" wrapText="1"/>
    </xf>
    <xf numFmtId="0" fontId="19" fillId="3" borderId="3" xfId="22" applyFont="1" applyFill="1" applyBorder="1" applyAlignment="1">
      <alignment horizontal="left" vertical="center"/>
    </xf>
    <xf numFmtId="0" fontId="21" fillId="3" borderId="9" xfId="22" applyFont="1" applyFill="1" applyBorder="1" applyAlignment="1">
      <alignment horizontal="left" vertical="center" wrapText="1"/>
    </xf>
    <xf numFmtId="0" fontId="19" fillId="3" borderId="2" xfId="22" applyFont="1" applyFill="1" applyBorder="1" applyAlignment="1">
      <alignment horizontal="left" vertical="center"/>
    </xf>
    <xf numFmtId="0" fontId="21" fillId="3" borderId="15" xfId="22" applyFont="1" applyFill="1" applyBorder="1" applyAlignment="1">
      <alignment horizontal="left" vertical="center" wrapText="1"/>
    </xf>
    <xf numFmtId="0" fontId="21" fillId="3" borderId="2" xfId="22" applyFont="1" applyFill="1" applyBorder="1" applyAlignment="1">
      <alignment horizontal="left" vertical="center" wrapText="1"/>
    </xf>
    <xf numFmtId="0" fontId="21" fillId="3" borderId="14" xfId="22" applyFont="1" applyFill="1" applyBorder="1" applyAlignment="1">
      <alignment horizontal="left" vertical="center" wrapText="1"/>
    </xf>
    <xf numFmtId="0" fontId="20" fillId="2" borderId="2" xfId="22" applyFont="1" applyFill="1" applyBorder="1" applyAlignment="1">
      <alignment horizontal="left" vertical="center" wrapText="1"/>
    </xf>
    <xf numFmtId="9" fontId="0" fillId="12" borderId="0" xfId="0" applyNumberFormat="1" applyFill="1" applyAlignment="1">
      <alignment horizontal="center" vertical="center"/>
    </xf>
    <xf numFmtId="0" fontId="0" fillId="9" borderId="1" xfId="0" applyFill="1" applyBorder="1" applyAlignment="1">
      <alignment horizontal="left" vertical="center" wrapText="1"/>
    </xf>
    <xf numFmtId="0" fontId="39" fillId="0" borderId="0" xfId="19" applyFont="1"/>
    <xf numFmtId="0" fontId="27" fillId="10" borderId="0" xfId="0" applyFont="1" applyFill="1" applyAlignment="1">
      <alignment horizontal="left" vertical="center"/>
    </xf>
    <xf numFmtId="0" fontId="1" fillId="0" borderId="0" xfId="19" applyFont="1"/>
    <xf numFmtId="0" fontId="1" fillId="0" borderId="0" xfId="19" applyFont="1" applyAlignment="1">
      <alignment horizontal="right"/>
    </xf>
    <xf numFmtId="0" fontId="0" fillId="14" borderId="0" xfId="0" applyFill="1"/>
    <xf numFmtId="0" fontId="29" fillId="19" borderId="3" xfId="0" applyFont="1" applyFill="1" applyBorder="1" applyAlignment="1">
      <alignment horizontal="centerContinuous"/>
    </xf>
    <xf numFmtId="0" fontId="21" fillId="3" borderId="16" xfId="22" applyFont="1" applyFill="1" applyBorder="1" applyAlignment="1">
      <alignment horizontal="left" vertical="center" wrapText="1"/>
    </xf>
    <xf numFmtId="0" fontId="42" fillId="3" borderId="2" xfId="22" applyFont="1" applyFill="1" applyBorder="1" applyAlignment="1">
      <alignment horizontal="left" vertical="center" wrapText="1"/>
    </xf>
    <xf numFmtId="0" fontId="21" fillId="3" borderId="18" xfId="22" applyFont="1" applyFill="1" applyBorder="1" applyAlignment="1">
      <alignment horizontal="left" vertical="center" wrapText="1"/>
    </xf>
    <xf numFmtId="0" fontId="21" fillId="3" borderId="17" xfId="22" applyFont="1" applyFill="1" applyBorder="1" applyAlignment="1">
      <alignment horizontal="left" vertical="center" wrapText="1"/>
    </xf>
    <xf numFmtId="0" fontId="0" fillId="0" borderId="3" xfId="0" applyBorder="1" applyAlignment="1" applyProtection="1">
      <alignment horizontal="left" vertical="center"/>
      <protection locked="0"/>
    </xf>
    <xf numFmtId="0" fontId="37" fillId="0" borderId="0" xfId="0" applyFont="1"/>
    <xf numFmtId="0" fontId="37" fillId="14" borderId="0" xfId="0" applyFont="1" applyFill="1" applyAlignment="1">
      <alignment horizontal="center" vertical="center"/>
    </xf>
    <xf numFmtId="0" fontId="37" fillId="14" borderId="0" xfId="0" applyFont="1" applyFill="1" applyAlignment="1">
      <alignment horizontal="left" vertical="center"/>
    </xf>
    <xf numFmtId="0" fontId="45" fillId="14" borderId="0" xfId="0" applyFont="1" applyFill="1" applyAlignment="1">
      <alignment horizontal="left" vertical="center"/>
    </xf>
    <xf numFmtId="0" fontId="29" fillId="0" borderId="0" xfId="0" applyFont="1" applyAlignment="1">
      <alignment horizontal="left" vertical="center"/>
    </xf>
    <xf numFmtId="0" fontId="29" fillId="0" borderId="0" xfId="0" applyFont="1" applyAlignment="1">
      <alignment horizontal="left" vertical="center" wrapText="1"/>
    </xf>
    <xf numFmtId="0" fontId="20" fillId="2" borderId="17" xfId="0" applyFont="1" applyFill="1" applyBorder="1" applyAlignment="1">
      <alignment horizontal="left" vertical="center" wrapText="1"/>
    </xf>
    <xf numFmtId="9" fontId="37" fillId="14" borderId="13" xfId="0" applyNumberFormat="1" applyFont="1" applyFill="1" applyBorder="1" applyAlignment="1">
      <alignment horizontal="center" vertical="center"/>
    </xf>
    <xf numFmtId="0" fontId="29" fillId="2" borderId="0" xfId="0" applyFont="1" applyFill="1" applyAlignment="1">
      <alignment horizontal="centerContinuous" vertical="center"/>
    </xf>
    <xf numFmtId="0" fontId="29" fillId="2" borderId="0" xfId="0" applyFont="1" applyFill="1" applyAlignment="1">
      <alignment horizontal="centerContinuous"/>
    </xf>
    <xf numFmtId="0" fontId="38" fillId="0" borderId="0" xfId="19" applyFont="1" applyAlignment="1">
      <alignment horizontal="right"/>
    </xf>
    <xf numFmtId="0" fontId="0" fillId="6" borderId="0" xfId="0" applyFill="1" applyAlignment="1" applyProtection="1">
      <alignment horizontal="centerContinuous" vertical="center"/>
      <protection locked="0"/>
    </xf>
    <xf numFmtId="0" fontId="19" fillId="3" borderId="16" xfId="22" applyFont="1" applyFill="1" applyBorder="1" applyAlignment="1">
      <alignment horizontal="left" vertical="center"/>
    </xf>
    <xf numFmtId="0" fontId="19" fillId="3" borderId="0" xfId="22" applyFont="1" applyFill="1" applyAlignment="1">
      <alignment horizontal="left" vertical="center"/>
    </xf>
    <xf numFmtId="0" fontId="10" fillId="3" borderId="16" xfId="22" applyFont="1" applyFill="1"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9" fontId="37" fillId="14" borderId="24" xfId="0" applyNumberFormat="1" applyFont="1" applyFill="1" applyBorder="1" applyAlignment="1">
      <alignment horizontal="center" vertical="center"/>
    </xf>
    <xf numFmtId="166" fontId="44" fillId="22" borderId="26" xfId="17" applyNumberFormat="1" applyFont="1" applyFill="1" applyBorder="1" applyAlignment="1" applyProtection="1">
      <alignment horizontal="center" vertical="center"/>
    </xf>
    <xf numFmtId="166" fontId="44" fillId="22" borderId="27" xfId="17" applyNumberFormat="1" applyFont="1" applyFill="1" applyBorder="1" applyAlignment="1" applyProtection="1">
      <alignment horizontal="center" vertical="center"/>
    </xf>
    <xf numFmtId="166" fontId="44" fillId="22" borderId="25" xfId="17" applyNumberFormat="1" applyFont="1" applyFill="1" applyBorder="1" applyAlignment="1" applyProtection="1">
      <alignment horizontal="center" vertical="center"/>
    </xf>
    <xf numFmtId="9" fontId="37" fillId="14" borderId="28" xfId="0" applyNumberFormat="1" applyFont="1" applyFill="1" applyBorder="1" applyAlignment="1">
      <alignment horizontal="center" vertical="center"/>
    </xf>
    <xf numFmtId="9" fontId="37" fillId="22" borderId="28" xfId="0" applyNumberFormat="1" applyFont="1" applyFill="1" applyBorder="1" applyAlignment="1">
      <alignment horizontal="center" vertical="center"/>
    </xf>
    <xf numFmtId="9" fontId="37" fillId="14" borderId="30" xfId="0" applyNumberFormat="1" applyFont="1" applyFill="1" applyBorder="1" applyAlignment="1">
      <alignment horizontal="center" vertical="center"/>
    </xf>
    <xf numFmtId="9" fontId="37" fillId="22" borderId="30" xfId="0" applyNumberFormat="1" applyFont="1" applyFill="1" applyBorder="1" applyAlignment="1">
      <alignment horizontal="center" vertical="center"/>
    </xf>
    <xf numFmtId="9" fontId="37" fillId="14" borderId="33" xfId="0" applyNumberFormat="1" applyFont="1" applyFill="1" applyBorder="1" applyAlignment="1">
      <alignment horizontal="center" vertical="center"/>
    </xf>
    <xf numFmtId="9" fontId="20" fillId="2" borderId="19" xfId="22" applyNumberFormat="1" applyFont="1" applyFill="1" applyBorder="1" applyAlignment="1">
      <alignment horizontal="left" vertical="center" wrapText="1"/>
    </xf>
    <xf numFmtId="9" fontId="37" fillId="14" borderId="20" xfId="0" applyNumberFormat="1" applyFont="1" applyFill="1" applyBorder="1" applyAlignment="1">
      <alignment horizontal="center" vertical="center"/>
    </xf>
    <xf numFmtId="166" fontId="20" fillId="20" borderId="21" xfId="17" applyNumberFormat="1" applyFont="1" applyFill="1" applyBorder="1" applyAlignment="1" applyProtection="1">
      <alignment horizontal="center" vertical="center" wrapText="1"/>
    </xf>
    <xf numFmtId="0" fontId="20" fillId="2" borderId="20" xfId="22" applyFont="1" applyFill="1" applyBorder="1" applyAlignment="1">
      <alignment horizontal="left" vertical="center" wrapText="1"/>
    </xf>
    <xf numFmtId="9" fontId="37" fillId="21" borderId="29" xfId="0" applyNumberFormat="1" applyFont="1" applyFill="1" applyBorder="1" applyAlignment="1">
      <alignment horizontal="center" vertical="center"/>
    </xf>
    <xf numFmtId="9" fontId="37" fillId="14" borderId="31" xfId="0" applyNumberFormat="1" applyFont="1" applyFill="1" applyBorder="1" applyAlignment="1">
      <alignment horizontal="center" vertical="center"/>
    </xf>
    <xf numFmtId="9" fontId="37" fillId="22" borderId="31" xfId="0" applyNumberFormat="1" applyFont="1" applyFill="1" applyBorder="1" applyAlignment="1">
      <alignment horizontal="center" vertical="center"/>
    </xf>
    <xf numFmtId="9" fontId="37" fillId="14" borderId="32" xfId="0" applyNumberFormat="1" applyFont="1" applyFill="1" applyBorder="1" applyAlignment="1">
      <alignment horizontal="center" vertical="center"/>
    </xf>
    <xf numFmtId="0" fontId="20" fillId="20" borderId="12" xfId="22" applyFont="1" applyFill="1" applyBorder="1" applyAlignment="1">
      <alignment horizontal="left" vertical="center" wrapText="1"/>
    </xf>
    <xf numFmtId="0" fontId="20" fillId="20" borderId="15" xfId="22" applyFont="1" applyFill="1" applyBorder="1" applyAlignment="1">
      <alignment horizontal="left" vertical="center" wrapText="1"/>
    </xf>
    <xf numFmtId="0" fontId="20" fillId="20" borderId="3" xfId="22" applyFont="1" applyFill="1" applyBorder="1" applyAlignment="1">
      <alignment horizontal="left" vertical="center" wrapText="1"/>
    </xf>
    <xf numFmtId="0" fontId="20" fillId="20" borderId="2" xfId="22" applyFont="1" applyFill="1" applyBorder="1" applyAlignment="1">
      <alignment horizontal="left" vertical="center" wrapText="1"/>
    </xf>
    <xf numFmtId="0" fontId="20" fillId="20" borderId="18" xfId="22" applyFont="1" applyFill="1" applyBorder="1" applyAlignment="1">
      <alignment horizontal="left" vertical="center" wrapText="1"/>
    </xf>
    <xf numFmtId="0" fontId="20" fillId="20" borderId="14" xfId="22" applyFont="1" applyFill="1" applyBorder="1" applyAlignment="1">
      <alignment horizontal="left" vertical="center" wrapText="1"/>
    </xf>
    <xf numFmtId="0" fontId="20" fillId="20" borderId="16" xfId="22" applyFont="1" applyFill="1" applyBorder="1" applyAlignment="1">
      <alignment horizontal="left" vertical="center" wrapText="1"/>
    </xf>
    <xf numFmtId="0" fontId="20" fillId="20" borderId="9" xfId="22" applyFont="1" applyFill="1" applyBorder="1" applyAlignment="1">
      <alignment horizontal="left" vertical="center" wrapText="1" indent="1"/>
    </xf>
    <xf numFmtId="0" fontId="20" fillId="20" borderId="3" xfId="22" applyFont="1" applyFill="1" applyBorder="1" applyAlignment="1">
      <alignment horizontal="left" vertical="center" wrapText="1" indent="1"/>
    </xf>
    <xf numFmtId="0" fontId="25" fillId="14" borderId="0" xfId="0" applyFont="1" applyFill="1" applyAlignment="1">
      <alignment vertical="center"/>
    </xf>
    <xf numFmtId="0" fontId="26" fillId="14" borderId="0" xfId="0" applyFont="1" applyFill="1" applyAlignment="1">
      <alignment horizontal="center" vertical="center"/>
    </xf>
    <xf numFmtId="0" fontId="30" fillId="14" borderId="0" xfId="0" applyFont="1" applyFill="1" applyAlignment="1">
      <alignment vertical="center"/>
    </xf>
    <xf numFmtId="0" fontId="27" fillId="14" borderId="0" xfId="0" applyFont="1" applyFill="1" applyAlignment="1">
      <alignment horizontal="right" vertical="center"/>
    </xf>
    <xf numFmtId="0" fontId="0" fillId="14" borderId="0" xfId="0" applyFill="1" applyAlignment="1">
      <alignment horizontal="center"/>
    </xf>
    <xf numFmtId="0" fontId="46" fillId="23" borderId="0" xfId="0" applyFont="1" applyFill="1" applyAlignment="1">
      <alignment horizontal="left" vertical="center" wrapText="1"/>
    </xf>
    <xf numFmtId="0" fontId="46" fillId="23" borderId="4" xfId="0" applyFont="1" applyFill="1" applyBorder="1" applyAlignment="1">
      <alignment vertical="center" wrapText="1"/>
    </xf>
    <xf numFmtId="0" fontId="46" fillId="23" borderId="14" xfId="0" applyFont="1" applyFill="1" applyBorder="1" applyAlignment="1">
      <alignment vertical="center" wrapText="1"/>
    </xf>
    <xf numFmtId="0" fontId="46" fillId="23" borderId="0" xfId="0" applyFont="1" applyFill="1" applyAlignment="1">
      <alignment horizontal="center" vertical="center" wrapText="1"/>
    </xf>
    <xf numFmtId="0" fontId="25" fillId="24" borderId="0" xfId="0" applyFont="1" applyFill="1" applyAlignment="1">
      <alignment vertical="center"/>
    </xf>
    <xf numFmtId="0" fontId="0" fillId="24" borderId="0" xfId="0" applyFill="1"/>
    <xf numFmtId="0" fontId="26" fillId="24" borderId="0" xfId="0" applyFont="1" applyFill="1" applyAlignment="1">
      <alignment horizontal="center" vertical="center"/>
    </xf>
    <xf numFmtId="0" fontId="30" fillId="24" borderId="0" xfId="0" applyFont="1" applyFill="1" applyAlignment="1">
      <alignment vertical="center"/>
    </xf>
    <xf numFmtId="0" fontId="27" fillId="24" borderId="0" xfId="0" applyFont="1" applyFill="1" applyAlignment="1">
      <alignment horizontal="right" vertical="center"/>
    </xf>
    <xf numFmtId="0" fontId="27" fillId="24" borderId="0" xfId="0" applyFont="1" applyFill="1" applyAlignment="1">
      <alignment horizontal="left" vertical="center"/>
    </xf>
    <xf numFmtId="0" fontId="0" fillId="24" borderId="0" xfId="0" applyFill="1" applyAlignment="1">
      <alignment horizontal="center"/>
    </xf>
    <xf numFmtId="0" fontId="29" fillId="19" borderId="0" xfId="0" applyFont="1" applyFill="1" applyAlignment="1">
      <alignment horizontal="centerContinuous"/>
    </xf>
    <xf numFmtId="0" fontId="25" fillId="24" borderId="0" xfId="0" applyFont="1" applyFill="1" applyAlignment="1">
      <alignment horizontal="right" vertical="center"/>
    </xf>
    <xf numFmtId="0" fontId="0" fillId="0" borderId="3" xfId="0" applyBorder="1" applyAlignment="1">
      <alignment horizontal="left" vertical="center"/>
    </xf>
    <xf numFmtId="0" fontId="0" fillId="25" borderId="0" xfId="0" applyFill="1" applyAlignment="1">
      <alignment horizontal="left" vertical="center"/>
    </xf>
    <xf numFmtId="0" fontId="0" fillId="11" borderId="10" xfId="0" applyFill="1" applyBorder="1" applyAlignment="1" applyProtection="1">
      <alignment horizontal="right" vertical="center"/>
      <protection locked="0"/>
    </xf>
    <xf numFmtId="0" fontId="0" fillId="11" borderId="11" xfId="0" applyFill="1" applyBorder="1" applyAlignment="1" applyProtection="1">
      <alignment horizontal="right" vertical="center"/>
      <protection locked="0"/>
    </xf>
    <xf numFmtId="0" fontId="0" fillId="0" borderId="22" xfId="0" applyBorder="1" applyAlignment="1">
      <alignment horizontal="left" vertical="center" wrapText="1"/>
    </xf>
    <xf numFmtId="0" fontId="29" fillId="2" borderId="0" xfId="0" applyFont="1" applyFill="1" applyAlignment="1">
      <alignment horizontal="left" vertical="center"/>
    </xf>
    <xf numFmtId="0" fontId="0" fillId="0" borderId="0" xfId="0" applyAlignment="1">
      <alignment vertical="center" wrapText="1"/>
    </xf>
    <xf numFmtId="0" fontId="31" fillId="0" borderId="0" xfId="0" applyFont="1" applyFill="1" applyAlignment="1">
      <alignment vertical="center"/>
    </xf>
    <xf numFmtId="0" fontId="49" fillId="0" borderId="0" xfId="0" applyFont="1" applyFill="1" applyAlignment="1">
      <alignment horizontal="left" vertical="top" wrapText="1"/>
    </xf>
  </cellXfs>
  <cellStyles count="25">
    <cellStyle name="Comma 2" xfId="15" xr:uid="{00000000-0005-0000-0000-000000000000}"/>
    <cellStyle name="Followed Hyperlink" xfId="10" builtinId="9" hidden="1"/>
    <cellStyle name="Followed Hyperlink" xfId="8" builtinId="9" hidden="1"/>
    <cellStyle name="Followed Hyperlink" xfId="4" builtinId="9" hidden="1"/>
    <cellStyle name="Followed Hyperlink" xfId="6" builtinId="9" hidden="1"/>
    <cellStyle name="Followed Hyperlink" xfId="2" builtinId="9" hidden="1"/>
    <cellStyle name="Hyperlink" xfId="9" builtinId="8" hidden="1"/>
    <cellStyle name="Hyperlink" xfId="7" builtinId="8" hidden="1"/>
    <cellStyle name="Hyperlink" xfId="5" builtinId="8" hidden="1"/>
    <cellStyle name="Hyperlink" xfId="1" builtinId="8" hidden="1"/>
    <cellStyle name="Hyperlink" xfId="3" builtinId="8" hidden="1"/>
    <cellStyle name="Hyperlink" xfId="21" builtinId="8"/>
    <cellStyle name="Normal" xfId="0" builtinId="0"/>
    <cellStyle name="Normal 10" xfId="24" xr:uid="{168AD54E-345F-4324-A126-4D4433823A6A}"/>
    <cellStyle name="Normal 2" xfId="11" xr:uid="{00000000-0005-0000-0000-00000D000000}"/>
    <cellStyle name="Normal 3" xfId="12" xr:uid="{00000000-0005-0000-0000-00000E000000}"/>
    <cellStyle name="Normal 4" xfId="13" xr:uid="{00000000-0005-0000-0000-00000F000000}"/>
    <cellStyle name="Normal 5" xfId="14" xr:uid="{00000000-0005-0000-0000-000010000000}"/>
    <cellStyle name="Normal 6" xfId="16" xr:uid="{00000000-0005-0000-0000-000011000000}"/>
    <cellStyle name="Normal 7" xfId="18" xr:uid="{00000000-0005-0000-0000-000012000000}"/>
    <cellStyle name="Normal 8" xfId="19" xr:uid="{00000000-0005-0000-0000-000013000000}"/>
    <cellStyle name="Normal 8 2" xfId="22" xr:uid="{6EBF3521-5E43-4E19-9ED2-9B40610BD631}"/>
    <cellStyle name="Normal 9" xfId="23" xr:uid="{E04CA7F5-E1A5-48A7-92FC-A67B84F803B3}"/>
    <cellStyle name="Per cent" xfId="17" builtinId="5"/>
    <cellStyle name="Percent 2" xfId="20" xr:uid="{00000000-0005-0000-0000-000015000000}"/>
  </cellStyles>
  <dxfs count="239">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patternFill>
      </fill>
    </dxf>
    <dxf>
      <fill>
        <patternFill>
          <bgColor theme="5" tint="0.79998168889431442"/>
        </patternFill>
      </fill>
    </dxf>
    <dxf>
      <fill>
        <patternFill>
          <bgColor theme="4" tint="0.79998168889431442"/>
        </patternFill>
      </fill>
    </dxf>
    <dxf>
      <font>
        <color theme="0"/>
      </font>
      <fill>
        <patternFill>
          <bgColor theme="6"/>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tint="-4.9989318521683403E-2"/>
        </patternFill>
      </fill>
    </dxf>
    <dxf>
      <fill>
        <patternFill>
          <bgColor theme="5" tint="0.79998168889431442"/>
        </patternFill>
      </fill>
    </dxf>
    <dxf>
      <fill>
        <patternFill>
          <bgColor theme="4" tint="0.79998168889431442"/>
        </patternFill>
      </fill>
    </dxf>
    <dxf>
      <font>
        <color theme="0"/>
      </font>
      <fill>
        <patternFill>
          <bgColor theme="6"/>
        </patternFill>
      </fill>
    </dxf>
    <dxf>
      <fill>
        <patternFill>
          <bgColor theme="5" tint="0.79998168889431442"/>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tint="-4.9989318521683403E-2"/>
        </patternFill>
      </fill>
    </dxf>
    <dxf>
      <fill>
        <patternFill>
          <bgColor theme="4" tint="0.79998168889431442"/>
        </patternFill>
      </fill>
    </dxf>
    <dxf>
      <font>
        <color theme="0"/>
      </font>
      <fill>
        <patternFill>
          <bgColor theme="6"/>
        </patternFill>
      </fill>
    </dxf>
    <dxf>
      <fill>
        <patternFill>
          <bgColor theme="5" tint="0.79998168889431442"/>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tint="-4.9989318521683403E-2"/>
        </patternFill>
      </fill>
    </dxf>
    <dxf>
      <fill>
        <patternFill>
          <bgColor theme="4" tint="0.79998168889431442"/>
        </patternFill>
      </fill>
    </dxf>
    <dxf>
      <font>
        <color theme="0"/>
      </font>
      <fill>
        <patternFill>
          <bgColor theme="6"/>
        </patternFill>
      </fill>
    </dxf>
    <dxf>
      <fill>
        <patternFill>
          <bgColor theme="5" tint="0.79998168889431442"/>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tint="-4.9989318521683403E-2"/>
        </patternFill>
      </fill>
    </dxf>
    <dxf>
      <fill>
        <patternFill>
          <bgColor theme="4" tint="0.79998168889431442"/>
        </patternFill>
      </fill>
    </dxf>
    <dxf>
      <font>
        <color theme="0"/>
      </font>
      <fill>
        <patternFill>
          <bgColor theme="6"/>
        </patternFill>
      </fill>
    </dxf>
    <dxf>
      <fill>
        <patternFill>
          <bgColor theme="5" tint="0.79998168889431442"/>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theme="5" tint="0.7999816888943144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0"/>
        </patternFill>
      </fill>
    </dxf>
    <dxf>
      <fill>
        <patternFill>
          <bgColor theme="5" tint="0.79998168889431442"/>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theme="5" tint="0.79998168889431442"/>
        </patternFill>
      </fill>
    </dxf>
    <dxf>
      <font>
        <color theme="0"/>
      </font>
      <fill>
        <patternFill>
          <bgColor theme="6"/>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ont>
        <color rgb="FF9C0006"/>
      </font>
      <fill>
        <patternFill patternType="solid">
          <bgColor theme="5" tint="0.79998168889431442"/>
        </patternFill>
      </fill>
    </dxf>
    <dxf>
      <font>
        <b val="0"/>
        <i val="0"/>
        <strike val="0"/>
        <condense val="0"/>
        <extend val="0"/>
        <outline val="0"/>
        <shadow val="0"/>
        <u val="none"/>
        <vertAlign val="baseline"/>
        <sz val="12"/>
        <color auto="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theme="9" tint="0.79998168889431442"/>
        </top>
        <bottom style="thin">
          <color theme="9" tint="0.79998168889431442"/>
        </bottom>
      </border>
    </dxf>
    <dxf>
      <font>
        <b val="0"/>
        <i val="0"/>
        <strike val="0"/>
        <condense val="0"/>
        <extend val="0"/>
        <outline val="0"/>
        <shadow val="0"/>
        <u val="none"/>
        <vertAlign val="baseline"/>
        <sz val="12"/>
        <color auto="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theme="9" tint="0.79998168889431442"/>
        </top>
        <bottom style="thin">
          <color theme="9" tint="0.79998168889431442"/>
        </bottom>
      </border>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top/>
        <bottom/>
      </border>
      <protection locked="1" hidden="0"/>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top/>
        <bottom/>
      </border>
      <protection locked="1" hidden="0"/>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center" vertical="center" textRotation="0" wrapText="0" indent="0" justifyLastLine="0" shrinkToFit="0" readingOrder="0"/>
    </dxf>
    <dxf>
      <numFmt numFmtId="166" formatCode="0%;\-0%;;@"/>
      <alignment horizontal="center" vertical="center" textRotation="0" wrapText="0" indent="0" justifyLastLine="0" shrinkToFit="0" readingOrder="0"/>
      <protection locked="1" hidden="0"/>
    </dxf>
    <dxf>
      <font>
        <strike val="0"/>
        <outline val="0"/>
        <shadow val="0"/>
        <u val="none"/>
        <vertAlign val="baseline"/>
        <color auto="1"/>
      </font>
      <numFmt numFmtId="1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theme="9" tint="0.79998168889431442"/>
        </top>
        <bottom style="thin">
          <color theme="9" tint="0.79998168889431442"/>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ill>
        <patternFill patternType="solid">
          <fgColor indexed="64"/>
          <bgColor theme="5" tint="0.59999389629810485"/>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family val="2"/>
        <scheme val="minor"/>
      </font>
      <fill>
        <patternFill patternType="solid">
          <fgColor indexed="64"/>
          <bgColor rgb="FF95F9F7"/>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rgb="FF95F9F7"/>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Light"/>
        <family val="2"/>
        <scheme val="none"/>
      </font>
      <fill>
        <patternFill patternType="solid">
          <fgColor indexed="64"/>
          <bgColor rgb="FF0B888B"/>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border>
    </dxf>
    <dxf>
      <numFmt numFmtId="165" formatCode="0.0"/>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left"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165" formatCode="0.0"/>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dxf>
    <dxf>
      <font>
        <b/>
        <i val="0"/>
        <strike val="0"/>
        <condense val="0"/>
        <extend val="0"/>
        <outline val="0"/>
        <shadow val="0"/>
        <u val="none"/>
        <vertAlign val="baseline"/>
        <sz val="11"/>
        <color rgb="FFFFFFFF"/>
        <name val="Calibri"/>
        <family val="2"/>
        <scheme val="minor"/>
      </font>
      <fill>
        <patternFill patternType="solid">
          <fgColor rgb="FF4472C4"/>
          <bgColor rgb="FF4472C4"/>
        </patternFill>
      </fill>
      <alignment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theme="9" tint="0.79998168889431442"/>
        </top>
        <bottom style="thin">
          <color theme="9" tint="0.79998168889431442"/>
        </bottom>
      </border>
    </dxf>
    <dxf>
      <font>
        <b val="0"/>
        <i val="0"/>
        <strike val="0"/>
        <condense val="0"/>
        <extend val="0"/>
        <outline val="0"/>
        <shadow val="0"/>
        <u val="none"/>
        <vertAlign val="baseline"/>
        <sz val="12"/>
        <color auto="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theme="9" tint="0.79998168889431442"/>
        </top>
        <bottom style="thin">
          <color theme="9" tint="0.79998168889431442"/>
        </bottom>
      </border>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top/>
        <bottom/>
      </border>
      <protection locked="1" hidden="0"/>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top/>
        <bottom/>
      </border>
      <protection locked="1" hidden="0"/>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center" textRotation="0" wrapText="0" indent="0" justifyLastLine="0" shrinkToFit="0" readingOrder="0"/>
    </dxf>
    <dxf>
      <numFmt numFmtId="166" formatCode="0%;\-0%;;@"/>
      <alignment horizontal="center" vertical="center" textRotation="0" wrapText="0" indent="0" justifyLastLine="0" shrinkToFit="0" readingOrder="0"/>
      <protection locked="1" hidden="0"/>
    </dxf>
    <dxf>
      <font>
        <strike val="0"/>
        <outline val="0"/>
        <shadow val="0"/>
        <u val="none"/>
        <vertAlign val="baseline"/>
        <color auto="1"/>
      </font>
      <numFmt numFmtId="1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theme="9" tint="0.79998168889431442"/>
        </top>
        <bottom style="thin">
          <color theme="9" tint="0.79998168889431442"/>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ill>
        <patternFill patternType="solid">
          <fgColor indexed="64"/>
          <bgColor theme="5" tint="0.59999389629810485"/>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family val="2"/>
        <scheme val="minor"/>
      </font>
      <fill>
        <patternFill patternType="solid">
          <fgColor indexed="64"/>
          <bgColor rgb="FF95F9F7"/>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rgb="FF95F9F7"/>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Light"/>
        <family val="2"/>
        <scheme val="none"/>
      </font>
      <fill>
        <patternFill patternType="solid">
          <fgColor indexed="64"/>
          <bgColor rgb="FF0B888B"/>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border>
    </dxf>
    <dxf>
      <numFmt numFmtId="165" formatCode="0.0"/>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1" indent="0" justifyLastLine="0" shrinkToFit="0" readingOrder="0"/>
    </dxf>
    <dxf>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font>
        <b/>
        <i val="0"/>
        <strike val="0"/>
        <condense val="0"/>
        <extend val="0"/>
        <outline val="0"/>
        <shadow val="0"/>
        <u val="none"/>
        <vertAlign val="baseline"/>
        <sz val="11"/>
        <color rgb="FFFFFFFF"/>
        <name val="Calibri"/>
        <family val="2"/>
        <scheme val="minor"/>
      </font>
      <fill>
        <patternFill patternType="solid">
          <fgColor rgb="FF4472C4"/>
          <bgColor rgb="FF4472C4"/>
        </patternFill>
      </fill>
      <alignment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theme="9" tint="0.79998168889431442"/>
        </top>
        <bottom style="thin">
          <color theme="9" tint="0.79998168889431442"/>
        </bottom>
      </border>
    </dxf>
    <dxf>
      <font>
        <b val="0"/>
        <i val="0"/>
        <strike val="0"/>
        <condense val="0"/>
        <extend val="0"/>
        <outline val="0"/>
        <shadow val="0"/>
        <u val="none"/>
        <vertAlign val="baseline"/>
        <sz val="12"/>
        <color auto="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theme="9" tint="0.79998168889431442"/>
        </top>
        <bottom style="thin">
          <color theme="9" tint="0.79998168889431442"/>
        </bottom>
      </border>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top/>
        <bottom/>
      </border>
      <protection locked="1" hidden="0"/>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top/>
        <bottom/>
      </border>
      <protection locked="1" hidden="0"/>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center" textRotation="0" wrapText="0" indent="0" justifyLastLine="0" shrinkToFit="0" readingOrder="0"/>
    </dxf>
    <dxf>
      <numFmt numFmtId="166" formatCode="0%;\-0%;;@"/>
      <alignment horizontal="center" vertical="center" textRotation="0" wrapText="0" indent="0" justifyLastLine="0" shrinkToFit="0" readingOrder="0"/>
      <protection locked="1" hidden="0"/>
    </dxf>
    <dxf>
      <font>
        <strike val="0"/>
        <outline val="0"/>
        <shadow val="0"/>
        <u val="none"/>
        <vertAlign val="baseline"/>
        <color auto="1"/>
      </font>
      <numFmt numFmtId="1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theme="9" tint="0.79998168889431442"/>
        </top>
        <bottom style="thin">
          <color theme="9" tint="0.79998168889431442"/>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ill>
        <patternFill patternType="solid">
          <fgColor indexed="64"/>
          <bgColor theme="5" tint="0.59999389629810485"/>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family val="2"/>
        <scheme val="minor"/>
      </font>
      <fill>
        <patternFill patternType="solid">
          <fgColor indexed="64"/>
          <bgColor rgb="FF95F9F7"/>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rgb="FF95F9F7"/>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Light"/>
        <family val="2"/>
        <scheme val="none"/>
      </font>
      <fill>
        <patternFill patternType="solid">
          <fgColor indexed="64"/>
          <bgColor rgb="FF0B888B"/>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border>
    </dxf>
    <dxf>
      <numFmt numFmtId="165" formatCode="0.0"/>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1" indent="0" justifyLastLine="0" shrinkToFit="0" readingOrder="0"/>
    </dxf>
    <dxf>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font>
        <b/>
        <i val="0"/>
        <strike val="0"/>
        <condense val="0"/>
        <extend val="0"/>
        <outline val="0"/>
        <shadow val="0"/>
        <u val="none"/>
        <vertAlign val="baseline"/>
        <sz val="11"/>
        <color rgb="FFFFFFFF"/>
        <name val="Calibri"/>
        <family val="2"/>
        <scheme val="minor"/>
      </font>
      <fill>
        <patternFill patternType="solid">
          <fgColor rgb="FF4472C4"/>
          <bgColor rgb="FF4472C4"/>
        </patternFill>
      </fill>
      <alignment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theme="9" tint="0.79998168889431442"/>
        </top>
        <bottom style="thin">
          <color theme="9" tint="0.79998168889431442"/>
        </bottom>
      </border>
    </dxf>
    <dxf>
      <font>
        <b val="0"/>
        <i val="0"/>
        <strike val="0"/>
        <condense val="0"/>
        <extend val="0"/>
        <outline val="0"/>
        <shadow val="0"/>
        <u val="none"/>
        <vertAlign val="baseline"/>
        <sz val="12"/>
        <color auto="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theme="9" tint="0.79998168889431442"/>
        </top>
        <bottom style="thin">
          <color theme="9" tint="0.79998168889431442"/>
        </bottom>
      </border>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top/>
        <bottom/>
      </border>
      <protection locked="1" hidden="0"/>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outline="0">
        <left style="thin">
          <color indexed="64"/>
        </left>
        <right/>
        <top/>
        <bottom/>
      </border>
      <protection locked="1" hidden="0"/>
    </dxf>
    <dxf>
      <font>
        <b/>
        <i val="0"/>
        <strike val="0"/>
        <condense val="0"/>
        <extend val="0"/>
        <outline val="0"/>
        <shadow val="0"/>
        <u val="none"/>
        <vertAlign val="baseline"/>
        <sz val="11"/>
        <color theme="0"/>
        <name val="Calibri Light"/>
        <family val="2"/>
        <scheme val="none"/>
      </font>
      <numFmt numFmtId="0" formatCode="General"/>
      <fill>
        <patternFill patternType="solid">
          <fgColor indexed="64"/>
          <bgColor rgb="FF0B888B"/>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center" textRotation="0" wrapText="0" indent="0" justifyLastLine="0" shrinkToFit="0" readingOrder="0"/>
    </dxf>
    <dxf>
      <numFmt numFmtId="166" formatCode="0%;\-0%;;@"/>
      <alignment horizontal="center" vertical="center" textRotation="0" wrapText="0" indent="0" justifyLastLine="0" shrinkToFit="0" readingOrder="0"/>
      <protection locked="1" hidden="0"/>
    </dxf>
    <dxf>
      <font>
        <strike val="0"/>
        <outline val="0"/>
        <shadow val="0"/>
        <u val="none"/>
        <vertAlign val="baseline"/>
        <color auto="1"/>
      </font>
      <numFmt numFmtId="1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theme="9" tint="0.79998168889431442"/>
        </top>
        <bottom style="thin">
          <color theme="9" tint="0.79998168889431442"/>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ill>
        <patternFill patternType="solid">
          <fgColor indexed="64"/>
          <bgColor theme="5" tint="0.59999389629810485"/>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family val="2"/>
        <scheme val="minor"/>
      </font>
      <fill>
        <patternFill patternType="solid">
          <fgColor indexed="64"/>
          <bgColor rgb="FF95F9F7"/>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rgb="FF95F9F7"/>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Light"/>
        <family val="2"/>
        <scheme val="none"/>
      </font>
      <fill>
        <patternFill patternType="solid">
          <fgColor indexed="64"/>
          <bgColor rgb="FF0B888B"/>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border>
    </dxf>
    <dxf>
      <numFmt numFmtId="165" formatCode="0.0"/>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1" indent="0" justifyLastLine="0" shrinkToFit="0" readingOrder="0"/>
    </dxf>
    <dxf>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font>
        <b/>
        <i val="0"/>
        <strike val="0"/>
        <condense val="0"/>
        <extend val="0"/>
        <outline val="0"/>
        <shadow val="0"/>
        <u val="none"/>
        <vertAlign val="baseline"/>
        <sz val="11"/>
        <color rgb="FFFFFFFF"/>
        <name val="Calibri"/>
        <family val="2"/>
        <scheme val="minor"/>
      </font>
      <fill>
        <patternFill patternType="solid">
          <fgColor rgb="FF4472C4"/>
          <bgColor rgb="FF4472C4"/>
        </patternFill>
      </fill>
      <alignment textRotation="0" wrapText="1" indent="0" justifyLastLine="0" shrinkToFit="0" readingOrder="0"/>
    </dxf>
    <dxf>
      <font>
        <b/>
        <i val="0"/>
        <color theme="0"/>
      </font>
      <fill>
        <patternFill>
          <bgColor rgb="FF007E97"/>
        </patternFill>
      </fill>
    </dxf>
    <dxf>
      <fill>
        <patternFill>
          <bgColor theme="0" tint="-4.9989318521683403E-2"/>
        </patternFill>
      </fill>
      <border diagonalUp="0" diagonalDown="1">
        <left style="thin">
          <color theme="0"/>
        </left>
        <right style="thin">
          <color theme="0"/>
        </right>
        <top style="thin">
          <color theme="0"/>
        </top>
        <bottom style="thin">
          <color theme="0"/>
        </bottom>
        <diagonal style="thin">
          <color theme="0"/>
        </diagonal>
        <vertical style="thin">
          <color theme="0"/>
        </vertical>
        <horizontal style="thin">
          <color theme="0"/>
        </horizontal>
      </border>
    </dxf>
  </dxfs>
  <tableStyles count="1" defaultTableStyle="TableStyleMedium2" defaultPivotStyle="PivotStyleLight16">
    <tableStyle name="IRC Annual report" table="0" count="2" xr9:uid="{00000000-0011-0000-FFFF-FFFF00000000}">
      <tableStyleElement type="wholeTable" dxfId="238"/>
      <tableStyleElement type="headerRow" dxfId="237"/>
    </tableStyle>
  </tableStyles>
  <colors>
    <mruColors>
      <color rgb="FF95F9F7"/>
      <color rgb="FF51E7E2"/>
      <color rgb="FF0B888B"/>
      <color rgb="FF86FB25"/>
      <color rgb="FF369044"/>
      <color rgb="FF0C426A"/>
      <color rgb="FF873B96"/>
      <color rgb="FF1D87C9"/>
      <color rgb="FFFFFF66"/>
      <color rgb="FFFF59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'BB Dashboard'!$D$7</c:f>
          <c:strCache>
            <c:ptCount val="1"/>
            <c:pt idx="0">
              <c:v>Water</c:v>
            </c:pt>
          </c:strCache>
        </c:strRef>
      </c:tx>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NL"/>
        </a:p>
      </c:txPr>
    </c:title>
    <c:autoTitleDeleted val="0"/>
    <c:plotArea>
      <c:layout/>
      <c:barChart>
        <c:barDir val="bar"/>
        <c:grouping val="clustered"/>
        <c:varyColors val="0"/>
        <c:ser>
          <c:idx val="0"/>
          <c:order val="0"/>
          <c:tx>
            <c:strRef>
              <c:f>'BB Dashboard'!$D$7</c:f>
              <c:strCache>
                <c:ptCount val="1"/>
                <c:pt idx="0">
                  <c:v>Water</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'BB Dashboard'!$C$8:$C$20</c:f>
              <c:strCache>
                <c:ptCount val="13"/>
                <c:pt idx="0">
                  <c:v>Climate Index</c:v>
                </c:pt>
                <c:pt idx="1">
                  <c:v>Capacity Index</c:v>
                </c:pt>
                <c:pt idx="2">
                  <c:v>GESI Index</c:v>
                </c:pt>
                <c:pt idx="3">
                  <c:v>Finance</c:v>
                </c:pt>
                <c:pt idx="4">
                  <c:v>Infrastructure (development)</c:v>
                </c:pt>
                <c:pt idx="5">
                  <c:v>Infrastructure management and service delivery models</c:v>
                </c:pt>
                <c:pt idx="6">
                  <c:v>Institutions</c:v>
                </c:pt>
                <c:pt idx="7">
                  <c:v>Learning &amp; adaptation</c:v>
                </c:pt>
                <c:pt idx="8">
                  <c:v>Monitoring</c:v>
                </c:pt>
                <c:pt idx="9">
                  <c:v>Planning</c:v>
                </c:pt>
                <c:pt idx="10">
                  <c:v>Policy &amp; legislation</c:v>
                </c:pt>
                <c:pt idx="11">
                  <c:v>Regulation &amp; accountability</c:v>
                </c:pt>
                <c:pt idx="12">
                  <c:v>Water resource management</c:v>
                </c:pt>
              </c:strCache>
            </c:strRef>
          </c:cat>
          <c:val>
            <c:numRef>
              <c:f>'BB Dashboard'!$D$8:$D$20</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F73C-418D-9DFB-8DB8F5804AB4}"/>
            </c:ext>
          </c:extLst>
        </c:ser>
        <c:dLbls>
          <c:dLblPos val="outEnd"/>
          <c:showLegendKey val="0"/>
          <c:showVal val="1"/>
          <c:showCatName val="0"/>
          <c:showSerName val="0"/>
          <c:showPercent val="0"/>
          <c:showBubbleSize val="0"/>
        </c:dLbls>
        <c:gapWidth val="128"/>
        <c:overlap val="18"/>
        <c:axId val="1303301456"/>
        <c:axId val="1303311248"/>
      </c:barChart>
      <c:catAx>
        <c:axId val="1303301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solidFill>
                <a:latin typeface="+mn-lt"/>
                <a:ea typeface="+mn-ea"/>
                <a:cs typeface="+mn-cs"/>
              </a:defRPr>
            </a:pPr>
            <a:endParaRPr lang="en-NL"/>
          </a:p>
        </c:txPr>
        <c:crossAx val="1303311248"/>
        <c:crosses val="autoZero"/>
        <c:auto val="1"/>
        <c:lblAlgn val="ctr"/>
        <c:lblOffset val="100"/>
        <c:noMultiLvlLbl val="0"/>
      </c:catAx>
      <c:valAx>
        <c:axId val="1303311248"/>
        <c:scaling>
          <c:orientation val="minMax"/>
          <c:max val="1"/>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crossAx val="1303301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'BB Dashboard'!$E$7</c:f>
          <c:strCache>
            <c:ptCount val="1"/>
            <c:pt idx="0">
              <c:v>Sanitation and Hygiene</c:v>
            </c:pt>
          </c:strCache>
        </c:strRef>
      </c:tx>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NL"/>
        </a:p>
      </c:txPr>
    </c:title>
    <c:autoTitleDeleted val="0"/>
    <c:plotArea>
      <c:layout/>
      <c:barChart>
        <c:barDir val="bar"/>
        <c:grouping val="clustered"/>
        <c:varyColors val="0"/>
        <c:ser>
          <c:idx val="0"/>
          <c:order val="0"/>
          <c:tx>
            <c:strRef>
              <c:f>'BB Dashboard'!$E$7</c:f>
              <c:strCache>
                <c:ptCount val="1"/>
                <c:pt idx="0">
                  <c:v>Sanitation and Hygiene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'BB Dashboard'!$C$8:$C$20</c:f>
              <c:strCache>
                <c:ptCount val="13"/>
                <c:pt idx="0">
                  <c:v>Climate Index</c:v>
                </c:pt>
                <c:pt idx="1">
                  <c:v>Capacity Index</c:v>
                </c:pt>
                <c:pt idx="2">
                  <c:v>GESI Index</c:v>
                </c:pt>
                <c:pt idx="3">
                  <c:v>Finance</c:v>
                </c:pt>
                <c:pt idx="4">
                  <c:v>Infrastructure (development)</c:v>
                </c:pt>
                <c:pt idx="5">
                  <c:v>Infrastructure management and service delivery models</c:v>
                </c:pt>
                <c:pt idx="6">
                  <c:v>Institutions</c:v>
                </c:pt>
                <c:pt idx="7">
                  <c:v>Learning &amp; adaptation</c:v>
                </c:pt>
                <c:pt idx="8">
                  <c:v>Monitoring</c:v>
                </c:pt>
                <c:pt idx="9">
                  <c:v>Planning</c:v>
                </c:pt>
                <c:pt idx="10">
                  <c:v>Policy &amp; legislation</c:v>
                </c:pt>
                <c:pt idx="11">
                  <c:v>Regulation &amp; accountability</c:v>
                </c:pt>
                <c:pt idx="12">
                  <c:v>Water resource management</c:v>
                </c:pt>
              </c:strCache>
            </c:strRef>
          </c:cat>
          <c:val>
            <c:numRef>
              <c:f>'BB Dashboard'!$E$8:$E$20</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0EA2-444C-AD73-5ED20642F7ED}"/>
            </c:ext>
          </c:extLst>
        </c:ser>
        <c:dLbls>
          <c:dLblPos val="outEnd"/>
          <c:showLegendKey val="0"/>
          <c:showVal val="1"/>
          <c:showCatName val="0"/>
          <c:showSerName val="0"/>
          <c:showPercent val="0"/>
          <c:showBubbleSize val="0"/>
        </c:dLbls>
        <c:gapWidth val="128"/>
        <c:overlap val="18"/>
        <c:axId val="1303301456"/>
        <c:axId val="1303311248"/>
      </c:barChart>
      <c:catAx>
        <c:axId val="1303301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solidFill>
                <a:latin typeface="+mn-lt"/>
                <a:ea typeface="+mn-ea"/>
                <a:cs typeface="+mn-cs"/>
              </a:defRPr>
            </a:pPr>
            <a:endParaRPr lang="en-NL"/>
          </a:p>
        </c:txPr>
        <c:crossAx val="1303311248"/>
        <c:crosses val="autoZero"/>
        <c:auto val="1"/>
        <c:lblAlgn val="ctr"/>
        <c:lblOffset val="100"/>
        <c:noMultiLvlLbl val="0"/>
      </c:catAx>
      <c:valAx>
        <c:axId val="1303311248"/>
        <c:scaling>
          <c:orientation val="minMax"/>
          <c:max val="1"/>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crossAx val="1303301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'BB Dashboard'!$F$7</c:f>
          <c:strCache>
            <c:ptCount val="1"/>
            <c:pt idx="0">
              <c:v>HCF</c:v>
            </c:pt>
          </c:strCache>
        </c:strRef>
      </c:tx>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NL"/>
        </a:p>
      </c:txPr>
    </c:title>
    <c:autoTitleDeleted val="0"/>
    <c:plotArea>
      <c:layout/>
      <c:barChart>
        <c:barDir val="bar"/>
        <c:grouping val="clustered"/>
        <c:varyColors val="0"/>
        <c:ser>
          <c:idx val="0"/>
          <c:order val="0"/>
          <c:tx>
            <c:strRef>
              <c:f>'BB Dashboard'!$F$7</c:f>
              <c:strCache>
                <c:ptCount val="1"/>
                <c:pt idx="0">
                  <c:v>HCF</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'BB Dashboard'!$C$8:$C$20</c:f>
              <c:strCache>
                <c:ptCount val="13"/>
                <c:pt idx="0">
                  <c:v>Climate Index</c:v>
                </c:pt>
                <c:pt idx="1">
                  <c:v>Capacity Index</c:v>
                </c:pt>
                <c:pt idx="2">
                  <c:v>GESI Index</c:v>
                </c:pt>
                <c:pt idx="3">
                  <c:v>Finance</c:v>
                </c:pt>
                <c:pt idx="4">
                  <c:v>Infrastructure (development)</c:v>
                </c:pt>
                <c:pt idx="5">
                  <c:v>Infrastructure management and service delivery models</c:v>
                </c:pt>
                <c:pt idx="6">
                  <c:v>Institutions</c:v>
                </c:pt>
                <c:pt idx="7">
                  <c:v>Learning &amp; adaptation</c:v>
                </c:pt>
                <c:pt idx="8">
                  <c:v>Monitoring</c:v>
                </c:pt>
                <c:pt idx="9">
                  <c:v>Planning</c:v>
                </c:pt>
                <c:pt idx="10">
                  <c:v>Policy &amp; legislation</c:v>
                </c:pt>
                <c:pt idx="11">
                  <c:v>Regulation &amp; accountability</c:v>
                </c:pt>
                <c:pt idx="12">
                  <c:v>Water resource management</c:v>
                </c:pt>
              </c:strCache>
            </c:strRef>
          </c:cat>
          <c:val>
            <c:numRef>
              <c:f>'BB Dashboard'!$F$8:$F$20</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3FB-439B-AF5E-B28BD393818A}"/>
            </c:ext>
          </c:extLst>
        </c:ser>
        <c:dLbls>
          <c:dLblPos val="outEnd"/>
          <c:showLegendKey val="0"/>
          <c:showVal val="1"/>
          <c:showCatName val="0"/>
          <c:showSerName val="0"/>
          <c:showPercent val="0"/>
          <c:showBubbleSize val="0"/>
        </c:dLbls>
        <c:gapWidth val="128"/>
        <c:overlap val="18"/>
        <c:axId val="1303301456"/>
        <c:axId val="1303311248"/>
      </c:barChart>
      <c:catAx>
        <c:axId val="1303301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solidFill>
                <a:latin typeface="+mn-lt"/>
                <a:ea typeface="+mn-ea"/>
                <a:cs typeface="+mn-cs"/>
              </a:defRPr>
            </a:pPr>
            <a:endParaRPr lang="en-NL"/>
          </a:p>
        </c:txPr>
        <c:crossAx val="1303311248"/>
        <c:crosses val="autoZero"/>
        <c:auto val="1"/>
        <c:lblAlgn val="ctr"/>
        <c:lblOffset val="100"/>
        <c:noMultiLvlLbl val="0"/>
      </c:catAx>
      <c:valAx>
        <c:axId val="1303311248"/>
        <c:scaling>
          <c:orientation val="minMax"/>
          <c:max val="1"/>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crossAx val="1303301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'BB Dashboard'!$G$7</c:f>
          <c:strCache>
            <c:ptCount val="1"/>
            <c:pt idx="0">
              <c:v>District</c:v>
            </c:pt>
          </c:strCache>
        </c:strRef>
      </c:tx>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NL"/>
        </a:p>
      </c:txPr>
    </c:title>
    <c:autoTitleDeleted val="0"/>
    <c:plotArea>
      <c:layout/>
      <c:barChart>
        <c:barDir val="bar"/>
        <c:grouping val="clustered"/>
        <c:varyColors val="0"/>
        <c:ser>
          <c:idx val="0"/>
          <c:order val="0"/>
          <c:tx>
            <c:strRef>
              <c:f>'BB Dashboard'!$G$7</c:f>
              <c:strCache>
                <c:ptCount val="1"/>
                <c:pt idx="0">
                  <c:v>District</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'BB Dashboard'!$C$8:$C$20</c:f>
              <c:strCache>
                <c:ptCount val="13"/>
                <c:pt idx="0">
                  <c:v>Climate Index</c:v>
                </c:pt>
                <c:pt idx="1">
                  <c:v>Capacity Index</c:v>
                </c:pt>
                <c:pt idx="2">
                  <c:v>GESI Index</c:v>
                </c:pt>
                <c:pt idx="3">
                  <c:v>Finance</c:v>
                </c:pt>
                <c:pt idx="4">
                  <c:v>Infrastructure (development)</c:v>
                </c:pt>
                <c:pt idx="5">
                  <c:v>Infrastructure management and service delivery models</c:v>
                </c:pt>
                <c:pt idx="6">
                  <c:v>Institutions</c:v>
                </c:pt>
                <c:pt idx="7">
                  <c:v>Learning &amp; adaptation</c:v>
                </c:pt>
                <c:pt idx="8">
                  <c:v>Monitoring</c:v>
                </c:pt>
                <c:pt idx="9">
                  <c:v>Planning</c:v>
                </c:pt>
                <c:pt idx="10">
                  <c:v>Policy &amp; legislation</c:v>
                </c:pt>
                <c:pt idx="11">
                  <c:v>Regulation &amp; accountability</c:v>
                </c:pt>
                <c:pt idx="12">
                  <c:v>Water resource management</c:v>
                </c:pt>
              </c:strCache>
            </c:strRef>
          </c:cat>
          <c:val>
            <c:numRef>
              <c:f>'BB Dashboard'!$G$8:$G$20</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B2D2-4175-8389-BB29D9C8C6AB}"/>
            </c:ext>
          </c:extLst>
        </c:ser>
        <c:dLbls>
          <c:dLblPos val="outEnd"/>
          <c:showLegendKey val="0"/>
          <c:showVal val="1"/>
          <c:showCatName val="0"/>
          <c:showSerName val="0"/>
          <c:showPercent val="0"/>
          <c:showBubbleSize val="0"/>
        </c:dLbls>
        <c:gapWidth val="128"/>
        <c:overlap val="18"/>
        <c:axId val="1303301456"/>
        <c:axId val="1303311248"/>
      </c:barChart>
      <c:catAx>
        <c:axId val="1303301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solidFill>
                <a:latin typeface="+mn-lt"/>
                <a:ea typeface="+mn-ea"/>
                <a:cs typeface="+mn-cs"/>
              </a:defRPr>
            </a:pPr>
            <a:endParaRPr lang="en-NL"/>
          </a:p>
        </c:txPr>
        <c:crossAx val="1303311248"/>
        <c:crosses val="autoZero"/>
        <c:auto val="1"/>
        <c:lblAlgn val="ctr"/>
        <c:lblOffset val="100"/>
        <c:noMultiLvlLbl val="0"/>
      </c:catAx>
      <c:valAx>
        <c:axId val="1303311248"/>
        <c:scaling>
          <c:orientation val="minMax"/>
          <c:max val="1"/>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crossAx val="1303301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NL"/>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BB Dashboard'!A1"/><Relationship Id="rId3" Type="http://schemas.openxmlformats.org/officeDocument/2006/relationships/hyperlink" Target="#Guidance!A1"/><Relationship Id="rId7" Type="http://schemas.openxmlformats.org/officeDocument/2006/relationships/hyperlink" Target="#'District 1'!A1"/><Relationship Id="rId2" Type="http://schemas.openxmlformats.org/officeDocument/2006/relationships/hyperlink" Target="https://youtu.be/88I5xt0eonw" TargetMode="External"/><Relationship Id="rId1" Type="http://schemas.openxmlformats.org/officeDocument/2006/relationships/hyperlink" Target="https://youtu.be/8ZMhs4qm8_Y" TargetMode="External"/><Relationship Id="rId6" Type="http://schemas.openxmlformats.org/officeDocument/2006/relationships/hyperlink" Target="#'National HCF'!A1"/><Relationship Id="rId5" Type="http://schemas.openxmlformats.org/officeDocument/2006/relationships/hyperlink" Target="#'National S&amp;H'!A1"/><Relationship Id="rId4" Type="http://schemas.openxmlformats.org/officeDocument/2006/relationships/hyperlink" Target="#'National Water'!A1"/><Relationship Id="rId9"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hyperlink" Target="#'National S&amp;H'!A1"/><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hyperlink" Target="#'National Water'!A1"/><Relationship Id="rId17" Type="http://schemas.openxmlformats.org/officeDocument/2006/relationships/image" Target="../media/image11.png"/><Relationship Id="rId2" Type="http://schemas.openxmlformats.org/officeDocument/2006/relationships/image" Target="../media/image3.png"/><Relationship Id="rId16" Type="http://schemas.openxmlformats.org/officeDocument/2006/relationships/hyperlink" Target="#'BB Dashboard'!A1"/><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hyperlink" Target="#Guidance!A1"/><Relationship Id="rId5" Type="http://schemas.openxmlformats.org/officeDocument/2006/relationships/image" Target="../media/image6.png"/><Relationship Id="rId15" Type="http://schemas.openxmlformats.org/officeDocument/2006/relationships/hyperlink" Target="#'District 1'!A1"/><Relationship Id="rId10" Type="http://schemas.openxmlformats.org/officeDocument/2006/relationships/hyperlink" Target="https://ircwash.sharepoint.com/sites/PMEL/_layouts/15/download.aspx?SourceUrl=%2Fsites%2FPMEL%2FShared%20Documents%2FGeneral%2F07%2E%20Monitoring%20framework%2F02%2E%20Templates%20PML%2FTemplates%2F2024%20templates%2FPrint%20friendly%20WASH%20Systems%20index%20National%20Water%2Epdf" TargetMode="External"/><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hyperlink" Target="#'National HCF'!A1"/></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hyperlink" Target="#'National S&amp;H'!A1"/><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hyperlink" Target="#'National Water'!A1"/><Relationship Id="rId2" Type="http://schemas.openxmlformats.org/officeDocument/2006/relationships/image" Target="../media/image3.png"/><Relationship Id="rId16" Type="http://schemas.openxmlformats.org/officeDocument/2006/relationships/hyperlink" Target="#'BB Dashboard'!A1"/><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hyperlink" Target="#Guidance!A1"/><Relationship Id="rId5" Type="http://schemas.openxmlformats.org/officeDocument/2006/relationships/image" Target="../media/image6.png"/><Relationship Id="rId15" Type="http://schemas.openxmlformats.org/officeDocument/2006/relationships/hyperlink" Target="#'District 1'!A1"/><Relationship Id="rId10" Type="http://schemas.openxmlformats.org/officeDocument/2006/relationships/hyperlink" Target="https://ircwash.sharepoint.com/sites/PMEL/_layouts/15/download.aspx?SourceUrl=%2Fsites%2FPMEL%2FShared%20Documents%2FGeneral%2F07%2E%20Monitoring%20framework%2F02%2E%20Templates%20PML%2FTemplates%2F2024%20templates%2FPrint%20friendly%20WASH%20Systems%20index%20National%20Sanitation%2Epdf" TargetMode="External"/><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hyperlink" Target="#'National HCF'!A1"/></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hyperlink" Target="#'National S&amp;H'!A1"/><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hyperlink" Target="#'National Water'!A1"/><Relationship Id="rId2" Type="http://schemas.openxmlformats.org/officeDocument/2006/relationships/image" Target="../media/image3.png"/><Relationship Id="rId16" Type="http://schemas.openxmlformats.org/officeDocument/2006/relationships/hyperlink" Target="#'BB Dashboard'!A1"/><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hyperlink" Target="#Guidance!A1"/><Relationship Id="rId5" Type="http://schemas.openxmlformats.org/officeDocument/2006/relationships/image" Target="../media/image6.png"/><Relationship Id="rId15" Type="http://schemas.openxmlformats.org/officeDocument/2006/relationships/hyperlink" Target="#'District 1'!A1"/><Relationship Id="rId10" Type="http://schemas.openxmlformats.org/officeDocument/2006/relationships/hyperlink" Target="https://ircwash.sharepoint.com/sites/PMEL/_layouts/15/download.aspx?SourceUrl=%2Fsites%2FPMEL%2FShared%20Documents%2FGeneral%2F07%2E%20Monitoring%20framework%2F02%2E%20Templates%20PML%2FTemplates%2F2024%20templates%2FPrint%20friendly%20WASH%20Systems%20index%20National%20Water%2Epdf" TargetMode="External"/><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hyperlink" Target="#'National HCF'!A1"/></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hyperlink" Target="#'National S&amp;H'!A1"/><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hyperlink" Target="#'National Water'!A1"/><Relationship Id="rId2" Type="http://schemas.openxmlformats.org/officeDocument/2006/relationships/image" Target="../media/image3.png"/><Relationship Id="rId16" Type="http://schemas.openxmlformats.org/officeDocument/2006/relationships/hyperlink" Target="#'BB Dashboard'!A1"/><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hyperlink" Target="#Guidance!A1"/><Relationship Id="rId5" Type="http://schemas.openxmlformats.org/officeDocument/2006/relationships/image" Target="../media/image6.png"/><Relationship Id="rId15" Type="http://schemas.openxmlformats.org/officeDocument/2006/relationships/hyperlink" Target="#'District 1'!A1"/><Relationship Id="rId10" Type="http://schemas.openxmlformats.org/officeDocument/2006/relationships/hyperlink" Target="https://ircwash.sharepoint.com/sites/PMEL/_layouts/15/download.aspx?SourceUrl=%2Fsites%2FPMEL%2FShared%20Documents%2FGeneral%2F07%2E%20Monitoring%20framework%2F02%2E%20Templates%20PML%2FTemplates%2F2024%20templates%2FPrint%20friendly%20WASH%20Systems%20index%20National%20Water%2Epdf" TargetMode="External"/><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hyperlink" Target="#'National HCF'!A1"/></Relationships>
</file>

<file path=xl/drawings/_rels/drawing6.xml.rels><?xml version="1.0" encoding="UTF-8" standalone="yes"?>
<Relationships xmlns="http://schemas.openxmlformats.org/package/2006/relationships"><Relationship Id="rId8" Type="http://schemas.openxmlformats.org/officeDocument/2006/relationships/hyperlink" Target="#'National S&amp;H'!A1"/><Relationship Id="rId3" Type="http://schemas.openxmlformats.org/officeDocument/2006/relationships/chart" Target="../charts/chart2.xml"/><Relationship Id="rId7" Type="http://schemas.openxmlformats.org/officeDocument/2006/relationships/hyperlink" Target="#'National Water'!A1"/><Relationship Id="rId2" Type="http://schemas.openxmlformats.org/officeDocument/2006/relationships/chart" Target="../charts/chart1.xml"/><Relationship Id="rId1" Type="http://schemas.openxmlformats.org/officeDocument/2006/relationships/hyperlink" Target="https://youtu.be/Ljxm7dtLkYQ" TargetMode="External"/><Relationship Id="rId6" Type="http://schemas.openxmlformats.org/officeDocument/2006/relationships/hyperlink" Target="#Guidance!A1"/><Relationship Id="rId11" Type="http://schemas.openxmlformats.org/officeDocument/2006/relationships/hyperlink" Target="#'BB Dashboard'!A1"/><Relationship Id="rId5" Type="http://schemas.openxmlformats.org/officeDocument/2006/relationships/chart" Target="../charts/chart4.xml"/><Relationship Id="rId10" Type="http://schemas.openxmlformats.org/officeDocument/2006/relationships/hyperlink" Target="#'District 1'!A1"/><Relationship Id="rId4" Type="http://schemas.openxmlformats.org/officeDocument/2006/relationships/chart" Target="../charts/chart3.xml"/><Relationship Id="rId9" Type="http://schemas.openxmlformats.org/officeDocument/2006/relationships/hyperlink" Target="#'National HCF'!A1"/></Relationships>
</file>

<file path=xl/drawings/drawing1.xml><?xml version="1.0" encoding="utf-8"?>
<xdr:wsDr xmlns:xdr="http://schemas.openxmlformats.org/drawingml/2006/spreadsheetDrawing" xmlns:a="http://schemas.openxmlformats.org/drawingml/2006/main">
  <xdr:twoCellAnchor editAs="oneCell">
    <xdr:from>
      <xdr:col>1</xdr:col>
      <xdr:colOff>6673850</xdr:colOff>
      <xdr:row>1</xdr:row>
      <xdr:rowOff>66675</xdr:rowOff>
    </xdr:from>
    <xdr:to>
      <xdr:col>3</xdr:col>
      <xdr:colOff>1905</xdr:colOff>
      <xdr:row>2</xdr:row>
      <xdr:rowOff>85725</xdr:rowOff>
    </xdr:to>
    <xdr:sp macro="" textlink="">
      <xdr:nvSpPr>
        <xdr:cNvPr id="5" name="Rectangle: Rounded Corners 1">
          <a:hlinkClick xmlns:r="http://schemas.openxmlformats.org/officeDocument/2006/relationships" r:id="rId1"/>
          <a:extLst>
            <a:ext uri="{FF2B5EF4-FFF2-40B4-BE49-F238E27FC236}">
              <a16:creationId xmlns:a16="http://schemas.microsoft.com/office/drawing/2014/main" id="{3843A893-903A-2199-84FD-86EEF752634B}"/>
            </a:ext>
          </a:extLst>
        </xdr:cNvPr>
        <xdr:cNvSpPr/>
      </xdr:nvSpPr>
      <xdr:spPr>
        <a:xfrm>
          <a:off x="6950075" y="266700"/>
          <a:ext cx="657225" cy="2444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Video</a:t>
          </a:r>
          <a:endParaRPr lang="aa-ET" sz="1100"/>
        </a:p>
      </xdr:txBody>
    </xdr:sp>
    <xdr:clientData fPrintsWithSheet="0"/>
  </xdr:twoCellAnchor>
  <xdr:twoCellAnchor>
    <xdr:from>
      <xdr:col>5</xdr:col>
      <xdr:colOff>590550</xdr:colOff>
      <xdr:row>1</xdr:row>
      <xdr:rowOff>44450</xdr:rowOff>
    </xdr:from>
    <xdr:to>
      <xdr:col>8</xdr:col>
      <xdr:colOff>384175</xdr:colOff>
      <xdr:row>2</xdr:row>
      <xdr:rowOff>44450</xdr:rowOff>
    </xdr:to>
    <xdr:sp macro="" textlink="">
      <xdr:nvSpPr>
        <xdr:cNvPr id="2" name="Rectangle: Rounded Corners 1">
          <a:hlinkClick xmlns:r="http://schemas.openxmlformats.org/officeDocument/2006/relationships" r:id="rId2"/>
          <a:extLst>
            <a:ext uri="{FF2B5EF4-FFF2-40B4-BE49-F238E27FC236}">
              <a16:creationId xmlns:a16="http://schemas.microsoft.com/office/drawing/2014/main" id="{CBA7F93B-C787-4049-9C68-0EBB64D62BEB}"/>
            </a:ext>
          </a:extLst>
        </xdr:cNvPr>
        <xdr:cNvSpPr/>
      </xdr:nvSpPr>
      <xdr:spPr>
        <a:xfrm>
          <a:off x="10731500" y="241300"/>
          <a:ext cx="2111375" cy="2349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Video how to add a new district</a:t>
          </a:r>
          <a:endParaRPr lang="aa-ET" sz="1100"/>
        </a:p>
      </xdr:txBody>
    </xdr:sp>
    <xdr:clientData/>
  </xdr:twoCellAnchor>
  <xdr:twoCellAnchor editAs="oneCell">
    <xdr:from>
      <xdr:col>6</xdr:col>
      <xdr:colOff>69850</xdr:colOff>
      <xdr:row>4</xdr:row>
      <xdr:rowOff>63500</xdr:rowOff>
    </xdr:from>
    <xdr:to>
      <xdr:col>8</xdr:col>
      <xdr:colOff>507093</xdr:colOff>
      <xdr:row>5</xdr:row>
      <xdr:rowOff>105682</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07982331-1865-422F-BC79-EFCC290A28E1}"/>
            </a:ext>
          </a:extLst>
        </xdr:cNvPr>
        <xdr:cNvSpPr/>
      </xdr:nvSpPr>
      <xdr:spPr>
        <a:xfrm>
          <a:off x="11055350" y="927100"/>
          <a:ext cx="1913618" cy="369207"/>
        </a:xfrm>
        <a:prstGeom prst="roundRect">
          <a:avLst/>
        </a:prstGeom>
        <a:solidFill>
          <a:schemeClr val="tx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Guidance</a:t>
          </a:r>
          <a:endParaRPr lang="en-NL" sz="1100"/>
        </a:p>
      </xdr:txBody>
    </xdr:sp>
    <xdr:clientData fPrintsWithSheet="0"/>
  </xdr:twoCellAnchor>
  <xdr:twoCellAnchor editAs="oneCell">
    <xdr:from>
      <xdr:col>6</xdr:col>
      <xdr:colOff>69850</xdr:colOff>
      <xdr:row>6</xdr:row>
      <xdr:rowOff>33020</xdr:rowOff>
    </xdr:from>
    <xdr:to>
      <xdr:col>8</xdr:col>
      <xdr:colOff>507093</xdr:colOff>
      <xdr:row>6</xdr:row>
      <xdr:rowOff>402227</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75352D2F-DA43-4DEB-AABB-BF0892F97E14}"/>
            </a:ext>
          </a:extLst>
        </xdr:cNvPr>
        <xdr:cNvSpPr/>
      </xdr:nvSpPr>
      <xdr:spPr>
        <a:xfrm>
          <a:off x="11055350" y="146177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Water</a:t>
          </a:r>
          <a:endParaRPr lang="en-NL" sz="1100"/>
        </a:p>
      </xdr:txBody>
    </xdr:sp>
    <xdr:clientData fPrintsWithSheet="0"/>
  </xdr:twoCellAnchor>
  <xdr:twoCellAnchor editAs="oneCell">
    <xdr:from>
      <xdr:col>6</xdr:col>
      <xdr:colOff>69850</xdr:colOff>
      <xdr:row>6</xdr:row>
      <xdr:rowOff>567690</xdr:rowOff>
    </xdr:from>
    <xdr:to>
      <xdr:col>8</xdr:col>
      <xdr:colOff>507093</xdr:colOff>
      <xdr:row>7</xdr:row>
      <xdr:rowOff>178072</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5194A4B4-F9FC-4876-A5C7-AE9788AFC21D}"/>
            </a:ext>
          </a:extLst>
        </xdr:cNvPr>
        <xdr:cNvSpPr/>
      </xdr:nvSpPr>
      <xdr:spPr>
        <a:xfrm>
          <a:off x="11055350" y="199644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S&amp;H</a:t>
          </a:r>
          <a:endParaRPr lang="en-NL" sz="1100"/>
        </a:p>
      </xdr:txBody>
    </xdr:sp>
    <xdr:clientData fPrintsWithSheet="0"/>
  </xdr:twoCellAnchor>
  <xdr:twoCellAnchor editAs="oneCell">
    <xdr:from>
      <xdr:col>6</xdr:col>
      <xdr:colOff>69850</xdr:colOff>
      <xdr:row>7</xdr:row>
      <xdr:rowOff>340360</xdr:rowOff>
    </xdr:from>
    <xdr:to>
      <xdr:col>8</xdr:col>
      <xdr:colOff>507093</xdr:colOff>
      <xdr:row>8</xdr:row>
      <xdr:rowOff>141242</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569C0E61-D5F7-4F7B-82D7-D6FEF399CFE7}"/>
            </a:ext>
          </a:extLst>
        </xdr:cNvPr>
        <xdr:cNvSpPr/>
      </xdr:nvSpPr>
      <xdr:spPr>
        <a:xfrm>
          <a:off x="11055350" y="253111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HCF</a:t>
          </a:r>
          <a:endParaRPr lang="en-NL" sz="1100"/>
        </a:p>
      </xdr:txBody>
    </xdr:sp>
    <xdr:clientData fPrintsWithSheet="0"/>
  </xdr:twoCellAnchor>
  <xdr:twoCellAnchor editAs="oneCell">
    <xdr:from>
      <xdr:col>6</xdr:col>
      <xdr:colOff>69850</xdr:colOff>
      <xdr:row>9</xdr:row>
      <xdr:rowOff>106680</xdr:rowOff>
    </xdr:from>
    <xdr:to>
      <xdr:col>8</xdr:col>
      <xdr:colOff>507093</xdr:colOff>
      <xdr:row>10</xdr:row>
      <xdr:rowOff>275862</xdr:rowOff>
    </xdr:to>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D1FF5395-B006-415D-845A-130BCD6E516C}"/>
            </a:ext>
          </a:extLst>
        </xdr:cNvPr>
        <xdr:cNvSpPr/>
      </xdr:nvSpPr>
      <xdr:spPr>
        <a:xfrm>
          <a:off x="11055350" y="3065780"/>
          <a:ext cx="1913618" cy="369207"/>
        </a:xfrm>
        <a:prstGeom prst="roundRect">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District</a:t>
          </a:r>
          <a:r>
            <a:rPr lang="en-GB" sz="1100" baseline="0"/>
            <a:t> 1</a:t>
          </a:r>
          <a:endParaRPr lang="en-NL" sz="1100"/>
        </a:p>
      </xdr:txBody>
    </xdr:sp>
    <xdr:clientData fPrintsWithSheet="0"/>
  </xdr:twoCellAnchor>
  <xdr:twoCellAnchor editAs="oneCell">
    <xdr:from>
      <xdr:col>6</xdr:col>
      <xdr:colOff>69850</xdr:colOff>
      <xdr:row>11</xdr:row>
      <xdr:rowOff>31750</xdr:rowOff>
    </xdr:from>
    <xdr:to>
      <xdr:col>8</xdr:col>
      <xdr:colOff>507093</xdr:colOff>
      <xdr:row>12</xdr:row>
      <xdr:rowOff>907</xdr:rowOff>
    </xdr:to>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4B795C0A-2112-402F-A9B1-5CF59C13CBB3}"/>
            </a:ext>
          </a:extLst>
        </xdr:cNvPr>
        <xdr:cNvSpPr/>
      </xdr:nvSpPr>
      <xdr:spPr>
        <a:xfrm>
          <a:off x="11055350" y="3600450"/>
          <a:ext cx="1913618" cy="369207"/>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tx1"/>
              </a:solidFill>
            </a:rPr>
            <a:t>Dashboard</a:t>
          </a:r>
          <a:endParaRPr lang="en-NL" sz="1100">
            <a:solidFill>
              <a:schemeClr val="tx1"/>
            </a:solidFill>
          </a:endParaRPr>
        </a:p>
      </xdr:txBody>
    </xdr:sp>
    <xdr:clientData fPrintsWithSheet="0"/>
  </xdr:twoCellAnchor>
  <xdr:twoCellAnchor editAs="oneCell">
    <xdr:from>
      <xdr:col>1</xdr:col>
      <xdr:colOff>54274</xdr:colOff>
      <xdr:row>28</xdr:row>
      <xdr:rowOff>151965</xdr:rowOff>
    </xdr:from>
    <xdr:to>
      <xdr:col>3</xdr:col>
      <xdr:colOff>607863</xdr:colOff>
      <xdr:row>53</xdr:row>
      <xdr:rowOff>311776</xdr:rowOff>
    </xdr:to>
    <xdr:pic>
      <xdr:nvPicPr>
        <xdr:cNvPr id="4" name="Picture 3">
          <a:extLst>
            <a:ext uri="{FF2B5EF4-FFF2-40B4-BE49-F238E27FC236}">
              <a16:creationId xmlns:a16="http://schemas.microsoft.com/office/drawing/2014/main" id="{58E1E7AF-00D4-CC11-6D75-EA589B87BEB7}"/>
            </a:ext>
          </a:extLst>
        </xdr:cNvPr>
        <xdr:cNvPicPr>
          <a:picLocks noChangeAspect="1"/>
        </xdr:cNvPicPr>
      </xdr:nvPicPr>
      <xdr:blipFill>
        <a:blip xmlns:r="http://schemas.openxmlformats.org/officeDocument/2006/relationships" r:embed="rId9"/>
        <a:stretch>
          <a:fillRect/>
        </a:stretch>
      </xdr:blipFill>
      <xdr:spPr>
        <a:xfrm>
          <a:off x="1204872" y="9942905"/>
          <a:ext cx="7815384" cy="53157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211667</xdr:colOff>
      <xdr:row>64</xdr:row>
      <xdr:rowOff>63501</xdr:rowOff>
    </xdr:from>
    <xdr:to>
      <xdr:col>12</xdr:col>
      <xdr:colOff>1123952</xdr:colOff>
      <xdr:row>64</xdr:row>
      <xdr:rowOff>963501</xdr:rowOff>
    </xdr:to>
    <xdr:pic>
      <xdr:nvPicPr>
        <xdr:cNvPr id="2" name="Picture 1">
          <a:extLst>
            <a:ext uri="{FF2B5EF4-FFF2-40B4-BE49-F238E27FC236}">
              <a16:creationId xmlns:a16="http://schemas.microsoft.com/office/drawing/2014/main" id="{DCE3430D-372E-4A7D-B057-5DC5ECBA2A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75267" y="57118251"/>
          <a:ext cx="912285" cy="900000"/>
        </a:xfrm>
        <a:prstGeom prst="rect">
          <a:avLst/>
        </a:prstGeom>
      </xdr:spPr>
    </xdr:pic>
    <xdr:clientData/>
  </xdr:twoCellAnchor>
  <xdr:twoCellAnchor>
    <xdr:from>
      <xdr:col>12</xdr:col>
      <xdr:colOff>232833</xdr:colOff>
      <xdr:row>30</xdr:row>
      <xdr:rowOff>84667</xdr:rowOff>
    </xdr:from>
    <xdr:to>
      <xdr:col>12</xdr:col>
      <xdr:colOff>1143972</xdr:colOff>
      <xdr:row>30</xdr:row>
      <xdr:rowOff>975142</xdr:rowOff>
    </xdr:to>
    <xdr:pic>
      <xdr:nvPicPr>
        <xdr:cNvPr id="3" name="Picture 2">
          <a:extLst>
            <a:ext uri="{FF2B5EF4-FFF2-40B4-BE49-F238E27FC236}">
              <a16:creationId xmlns:a16="http://schemas.microsoft.com/office/drawing/2014/main" id="{03AD8244-5A81-479A-BFFE-0D5CED83C8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96433" y="30850417"/>
          <a:ext cx="901614" cy="890475"/>
        </a:xfrm>
        <a:prstGeom prst="rect">
          <a:avLst/>
        </a:prstGeom>
      </xdr:spPr>
    </xdr:pic>
    <xdr:clientData/>
  </xdr:twoCellAnchor>
  <xdr:twoCellAnchor>
    <xdr:from>
      <xdr:col>12</xdr:col>
      <xdr:colOff>169333</xdr:colOff>
      <xdr:row>16</xdr:row>
      <xdr:rowOff>74084</xdr:rowOff>
    </xdr:from>
    <xdr:to>
      <xdr:col>12</xdr:col>
      <xdr:colOff>1073503</xdr:colOff>
      <xdr:row>16</xdr:row>
      <xdr:rowOff>980434</xdr:rowOff>
    </xdr:to>
    <xdr:pic>
      <xdr:nvPicPr>
        <xdr:cNvPr id="4" name="Picture 3">
          <a:extLst>
            <a:ext uri="{FF2B5EF4-FFF2-40B4-BE49-F238E27FC236}">
              <a16:creationId xmlns:a16="http://schemas.microsoft.com/office/drawing/2014/main" id="{CF185CC9-57A1-4D4D-B5CD-214772EA76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732933" y="16438034"/>
          <a:ext cx="904170" cy="906350"/>
        </a:xfrm>
        <a:prstGeom prst="rect">
          <a:avLst/>
        </a:prstGeom>
      </xdr:spPr>
    </xdr:pic>
    <xdr:clientData/>
  </xdr:twoCellAnchor>
  <xdr:twoCellAnchor>
    <xdr:from>
      <xdr:col>12</xdr:col>
      <xdr:colOff>211666</xdr:colOff>
      <xdr:row>5</xdr:row>
      <xdr:rowOff>63501</xdr:rowOff>
    </xdr:from>
    <xdr:to>
      <xdr:col>12</xdr:col>
      <xdr:colOff>1122032</xdr:colOff>
      <xdr:row>5</xdr:row>
      <xdr:rowOff>960326</xdr:rowOff>
    </xdr:to>
    <xdr:pic>
      <xdr:nvPicPr>
        <xdr:cNvPr id="5" name="Picture 4">
          <a:extLst>
            <a:ext uri="{FF2B5EF4-FFF2-40B4-BE49-F238E27FC236}">
              <a16:creationId xmlns:a16="http://schemas.microsoft.com/office/drawing/2014/main" id="{EE16E352-BF7A-492C-B78B-2EA1B6726EF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531166" y="5016501"/>
          <a:ext cx="910366" cy="896825"/>
        </a:xfrm>
        <a:prstGeom prst="rect">
          <a:avLst/>
        </a:prstGeom>
      </xdr:spPr>
    </xdr:pic>
    <xdr:clientData/>
  </xdr:twoCellAnchor>
  <xdr:twoCellAnchor>
    <xdr:from>
      <xdr:col>12</xdr:col>
      <xdr:colOff>150284</xdr:colOff>
      <xdr:row>21</xdr:row>
      <xdr:rowOff>42334</xdr:rowOff>
    </xdr:from>
    <xdr:to>
      <xdr:col>12</xdr:col>
      <xdr:colOff>1054671</xdr:colOff>
      <xdr:row>21</xdr:row>
      <xdr:rowOff>942334</xdr:rowOff>
    </xdr:to>
    <xdr:pic>
      <xdr:nvPicPr>
        <xdr:cNvPr id="6" name="Picture 5">
          <a:extLst>
            <a:ext uri="{FF2B5EF4-FFF2-40B4-BE49-F238E27FC236}">
              <a16:creationId xmlns:a16="http://schemas.microsoft.com/office/drawing/2014/main" id="{2B1EE459-C56F-48A7-B2B6-DD5FBD6523AD}"/>
            </a:ext>
            <a:ext uri="{147F2762-F138-4A5C-976F-8EAC2B608ADB}">
              <a16:predDERef xmlns:a16="http://schemas.microsoft.com/office/drawing/2014/main" pred="{EE16E352-BF7A-492C-B78B-2EA1B6726EF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713884" y="21521209"/>
          <a:ext cx="904387" cy="900000"/>
        </a:xfrm>
        <a:prstGeom prst="rect">
          <a:avLst/>
        </a:prstGeom>
      </xdr:spPr>
    </xdr:pic>
    <xdr:clientData/>
  </xdr:twoCellAnchor>
  <xdr:twoCellAnchor>
    <xdr:from>
      <xdr:col>12</xdr:col>
      <xdr:colOff>232833</xdr:colOff>
      <xdr:row>58</xdr:row>
      <xdr:rowOff>52917</xdr:rowOff>
    </xdr:from>
    <xdr:to>
      <xdr:col>12</xdr:col>
      <xdr:colOff>1144315</xdr:colOff>
      <xdr:row>58</xdr:row>
      <xdr:rowOff>956092</xdr:rowOff>
    </xdr:to>
    <xdr:pic>
      <xdr:nvPicPr>
        <xdr:cNvPr id="7" name="Picture 6">
          <a:extLst>
            <a:ext uri="{FF2B5EF4-FFF2-40B4-BE49-F238E27FC236}">
              <a16:creationId xmlns:a16="http://schemas.microsoft.com/office/drawing/2014/main" id="{00980F69-D536-4431-B317-ADFD7D1571B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796433" y="52373742"/>
          <a:ext cx="901957" cy="903175"/>
        </a:xfrm>
        <a:prstGeom prst="rect">
          <a:avLst/>
        </a:prstGeom>
      </xdr:spPr>
    </xdr:pic>
    <xdr:clientData/>
  </xdr:twoCellAnchor>
  <xdr:twoCellAnchor>
    <xdr:from>
      <xdr:col>12</xdr:col>
      <xdr:colOff>36890</xdr:colOff>
      <xdr:row>51</xdr:row>
      <xdr:rowOff>63500</xdr:rowOff>
    </xdr:from>
    <xdr:to>
      <xdr:col>12</xdr:col>
      <xdr:colOff>941371</xdr:colOff>
      <xdr:row>51</xdr:row>
      <xdr:rowOff>960325</xdr:rowOff>
    </xdr:to>
    <xdr:pic>
      <xdr:nvPicPr>
        <xdr:cNvPr id="8" name="Picture 7">
          <a:extLst>
            <a:ext uri="{FF2B5EF4-FFF2-40B4-BE49-F238E27FC236}">
              <a16:creationId xmlns:a16="http://schemas.microsoft.com/office/drawing/2014/main" id="{BCB01634-204E-4F46-A827-AC4749EA1F1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600490" y="48307625"/>
          <a:ext cx="904481" cy="896825"/>
        </a:xfrm>
        <a:prstGeom prst="rect">
          <a:avLst/>
        </a:prstGeom>
      </xdr:spPr>
    </xdr:pic>
    <xdr:clientData/>
  </xdr:twoCellAnchor>
  <xdr:twoCellAnchor>
    <xdr:from>
      <xdr:col>12</xdr:col>
      <xdr:colOff>275167</xdr:colOff>
      <xdr:row>45</xdr:row>
      <xdr:rowOff>95250</xdr:rowOff>
    </xdr:from>
    <xdr:to>
      <xdr:col>12</xdr:col>
      <xdr:colOff>1193400</xdr:colOff>
      <xdr:row>45</xdr:row>
      <xdr:rowOff>1001600</xdr:rowOff>
    </xdr:to>
    <xdr:pic>
      <xdr:nvPicPr>
        <xdr:cNvPr id="9" name="Picture 8">
          <a:extLst>
            <a:ext uri="{FF2B5EF4-FFF2-40B4-BE49-F238E27FC236}">
              <a16:creationId xmlns:a16="http://schemas.microsoft.com/office/drawing/2014/main" id="{960430C7-C233-4E1F-BE04-F09B02115AD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3838767" y="43672125"/>
          <a:ext cx="861083" cy="906350"/>
        </a:xfrm>
        <a:prstGeom prst="rect">
          <a:avLst/>
        </a:prstGeom>
      </xdr:spPr>
    </xdr:pic>
    <xdr:clientData/>
  </xdr:twoCellAnchor>
  <xdr:twoCellAnchor>
    <xdr:from>
      <xdr:col>12</xdr:col>
      <xdr:colOff>132292</xdr:colOff>
      <xdr:row>37</xdr:row>
      <xdr:rowOff>23283</xdr:rowOff>
    </xdr:from>
    <xdr:to>
      <xdr:col>12</xdr:col>
      <xdr:colOff>1050153</xdr:colOff>
      <xdr:row>37</xdr:row>
      <xdr:rowOff>929633</xdr:rowOff>
    </xdr:to>
    <xdr:pic>
      <xdr:nvPicPr>
        <xdr:cNvPr id="10" name="Picture 9">
          <a:extLst>
            <a:ext uri="{FF2B5EF4-FFF2-40B4-BE49-F238E27FC236}">
              <a16:creationId xmlns:a16="http://schemas.microsoft.com/office/drawing/2014/main" id="{BEBE5BD2-4566-49DF-B72A-1B9213612DCE}"/>
            </a:ext>
            <a:ext uri="{147F2762-F138-4A5C-976F-8EAC2B608ADB}">
              <a16:predDERef xmlns:a16="http://schemas.microsoft.com/office/drawing/2014/main" pred="{F0E2A137-BD61-47B2-AA4C-29C10EAAB5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3695892" y="37989933"/>
          <a:ext cx="917861" cy="906350"/>
        </a:xfrm>
        <a:prstGeom prst="rect">
          <a:avLst/>
        </a:prstGeom>
      </xdr:spPr>
    </xdr:pic>
    <xdr:clientData/>
  </xdr:twoCellAnchor>
  <xdr:twoCellAnchor editAs="oneCell">
    <xdr:from>
      <xdr:col>23</xdr:col>
      <xdr:colOff>599168</xdr:colOff>
      <xdr:row>3</xdr:row>
      <xdr:rowOff>213632</xdr:rowOff>
    </xdr:from>
    <xdr:to>
      <xdr:col>25</xdr:col>
      <xdr:colOff>64861</xdr:colOff>
      <xdr:row>4</xdr:row>
      <xdr:rowOff>249464</xdr:rowOff>
    </xdr:to>
    <xdr:sp macro="" textlink="">
      <xdr:nvSpPr>
        <xdr:cNvPr id="12" name="Rectangle: Rounded Corners 11">
          <a:hlinkClick xmlns:r="http://schemas.openxmlformats.org/officeDocument/2006/relationships" r:id="rId10"/>
          <a:extLst>
            <a:ext uri="{FF2B5EF4-FFF2-40B4-BE49-F238E27FC236}">
              <a16:creationId xmlns:a16="http://schemas.microsoft.com/office/drawing/2014/main" id="{D00C6E4C-806D-479D-A320-3595CF127AED}"/>
            </a:ext>
          </a:extLst>
        </xdr:cNvPr>
        <xdr:cNvSpPr/>
      </xdr:nvSpPr>
      <xdr:spPr>
        <a:xfrm>
          <a:off x="24221168" y="1007382"/>
          <a:ext cx="1913618" cy="36920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Download Print friendly </a:t>
          </a:r>
          <a:endParaRPr lang="en-NL" sz="1100"/>
        </a:p>
      </xdr:txBody>
    </xdr:sp>
    <xdr:clientData fPrintsWithSheet="0"/>
  </xdr:twoCellAnchor>
  <xdr:twoCellAnchor editAs="oneCell">
    <xdr:from>
      <xdr:col>23</xdr:col>
      <xdr:colOff>558799</xdr:colOff>
      <xdr:row>0</xdr:row>
      <xdr:rowOff>127000</xdr:rowOff>
    </xdr:from>
    <xdr:to>
      <xdr:col>25</xdr:col>
      <xdr:colOff>790575</xdr:colOff>
      <xdr:row>3</xdr:row>
      <xdr:rowOff>9525</xdr:rowOff>
    </xdr:to>
    <mc:AlternateContent xmlns:mc="http://schemas.openxmlformats.org/markup-compatibility/2006" xmlns:sle15="http://schemas.microsoft.com/office/drawing/2012/slicer">
      <mc:Choice Requires="sle15">
        <xdr:graphicFrame macro="">
          <xdr:nvGraphicFramePr>
            <xdr:cNvPr id="11" name="Show">
              <a:extLst>
                <a:ext uri="{FF2B5EF4-FFF2-40B4-BE49-F238E27FC236}">
                  <a16:creationId xmlns:a16="http://schemas.microsoft.com/office/drawing/2014/main" id="{0FABCA19-3103-5F98-854D-12D44A411BB1}"/>
                </a:ext>
              </a:extLst>
            </xdr:cNvPr>
            <xdr:cNvGraphicFramePr/>
          </xdr:nvGraphicFramePr>
          <xdr:xfrm>
            <a:off x="0" y="0"/>
            <a:ext cx="0" cy="0"/>
          </xdr:xfrm>
          <a:graphic>
            <a:graphicData uri="http://schemas.microsoft.com/office/drawing/2010/slicer">
              <sle:slicer xmlns:sle="http://schemas.microsoft.com/office/drawing/2010/slicer" name="Show"/>
            </a:graphicData>
          </a:graphic>
        </xdr:graphicFrame>
      </mc:Choice>
      <mc:Fallback xmlns="">
        <xdr:sp macro="" textlink="">
          <xdr:nvSpPr>
            <xdr:cNvPr id="0" name=""/>
            <xdr:cNvSpPr>
              <a:spLocks noTextEdit="1"/>
            </xdr:cNvSpPr>
          </xdr:nvSpPr>
          <xdr:spPr>
            <a:xfrm>
              <a:off x="17672049" y="127000"/>
              <a:ext cx="2679701" cy="679450"/>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PrintsWithSheet="0"/>
  </xdr:twoCellAnchor>
  <xdr:twoCellAnchor editAs="oneCell">
    <xdr:from>
      <xdr:col>23</xdr:col>
      <xdr:colOff>619125</xdr:colOff>
      <xdr:row>5</xdr:row>
      <xdr:rowOff>47625</xdr:rowOff>
    </xdr:from>
    <xdr:to>
      <xdr:col>25</xdr:col>
      <xdr:colOff>84818</xdr:colOff>
      <xdr:row>5</xdr:row>
      <xdr:rowOff>410482</xdr:rowOff>
    </xdr:to>
    <xdr:sp macro="" textlink="">
      <xdr:nvSpPr>
        <xdr:cNvPr id="14" name="Rectangle: Rounded Corners 13">
          <a:hlinkClick xmlns:r="http://schemas.openxmlformats.org/officeDocument/2006/relationships" r:id="rId11"/>
          <a:extLst>
            <a:ext uri="{FF2B5EF4-FFF2-40B4-BE49-F238E27FC236}">
              <a16:creationId xmlns:a16="http://schemas.microsoft.com/office/drawing/2014/main" id="{BDE6C4F1-2E93-4C57-9BF9-AB5DD48E6213}"/>
            </a:ext>
          </a:extLst>
        </xdr:cNvPr>
        <xdr:cNvSpPr/>
      </xdr:nvSpPr>
      <xdr:spPr>
        <a:xfrm>
          <a:off x="17732375" y="1714500"/>
          <a:ext cx="1913618" cy="369207"/>
        </a:xfrm>
        <a:prstGeom prst="roundRect">
          <a:avLst/>
        </a:prstGeom>
        <a:solidFill>
          <a:schemeClr val="tx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Guidance</a:t>
          </a:r>
          <a:endParaRPr lang="en-NL" sz="1100"/>
        </a:p>
      </xdr:txBody>
    </xdr:sp>
    <xdr:clientData fPrintsWithSheet="0"/>
  </xdr:twoCellAnchor>
  <xdr:twoCellAnchor editAs="oneCell">
    <xdr:from>
      <xdr:col>23</xdr:col>
      <xdr:colOff>619125</xdr:colOff>
      <xdr:row>5</xdr:row>
      <xdr:rowOff>582295</xdr:rowOff>
    </xdr:from>
    <xdr:to>
      <xdr:col>25</xdr:col>
      <xdr:colOff>84818</xdr:colOff>
      <xdr:row>5</xdr:row>
      <xdr:rowOff>945152</xdr:rowOff>
    </xdr:to>
    <xdr:sp macro="" textlink="">
      <xdr:nvSpPr>
        <xdr:cNvPr id="15" name="Rectangle: Rounded Corners 14">
          <a:hlinkClick xmlns:r="http://schemas.openxmlformats.org/officeDocument/2006/relationships" r:id="rId12"/>
          <a:extLst>
            <a:ext uri="{FF2B5EF4-FFF2-40B4-BE49-F238E27FC236}">
              <a16:creationId xmlns:a16="http://schemas.microsoft.com/office/drawing/2014/main" id="{D9EC1430-1A19-41F9-944F-E37FA6A3C301}"/>
            </a:ext>
          </a:extLst>
        </xdr:cNvPr>
        <xdr:cNvSpPr/>
      </xdr:nvSpPr>
      <xdr:spPr>
        <a:xfrm>
          <a:off x="17732375" y="224917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Water</a:t>
          </a:r>
          <a:endParaRPr lang="en-NL" sz="1100"/>
        </a:p>
      </xdr:txBody>
    </xdr:sp>
    <xdr:clientData fPrintsWithSheet="0"/>
  </xdr:twoCellAnchor>
  <xdr:twoCellAnchor editAs="oneCell">
    <xdr:from>
      <xdr:col>23</xdr:col>
      <xdr:colOff>619125</xdr:colOff>
      <xdr:row>6</xdr:row>
      <xdr:rowOff>53340</xdr:rowOff>
    </xdr:from>
    <xdr:to>
      <xdr:col>25</xdr:col>
      <xdr:colOff>84818</xdr:colOff>
      <xdr:row>6</xdr:row>
      <xdr:rowOff>428897</xdr:rowOff>
    </xdr:to>
    <xdr:sp macro="" textlink="">
      <xdr:nvSpPr>
        <xdr:cNvPr id="16" name="Rectangle: Rounded Corners 15">
          <a:hlinkClick xmlns:r="http://schemas.openxmlformats.org/officeDocument/2006/relationships" r:id="rId13"/>
          <a:extLst>
            <a:ext uri="{FF2B5EF4-FFF2-40B4-BE49-F238E27FC236}">
              <a16:creationId xmlns:a16="http://schemas.microsoft.com/office/drawing/2014/main" id="{4DA6454B-1456-4B26-990F-9C102D775703}"/>
            </a:ext>
          </a:extLst>
        </xdr:cNvPr>
        <xdr:cNvSpPr/>
      </xdr:nvSpPr>
      <xdr:spPr>
        <a:xfrm>
          <a:off x="17732375" y="278384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S&amp;H</a:t>
          </a:r>
          <a:endParaRPr lang="en-NL" sz="1100"/>
        </a:p>
      </xdr:txBody>
    </xdr:sp>
    <xdr:clientData fPrintsWithSheet="0"/>
  </xdr:twoCellAnchor>
  <xdr:twoCellAnchor editAs="oneCell">
    <xdr:from>
      <xdr:col>23</xdr:col>
      <xdr:colOff>619125</xdr:colOff>
      <xdr:row>6</xdr:row>
      <xdr:rowOff>588010</xdr:rowOff>
    </xdr:from>
    <xdr:to>
      <xdr:col>25</xdr:col>
      <xdr:colOff>84818</xdr:colOff>
      <xdr:row>6</xdr:row>
      <xdr:rowOff>960392</xdr:rowOff>
    </xdr:to>
    <xdr:sp macro="" textlink="">
      <xdr:nvSpPr>
        <xdr:cNvPr id="17" name="Rectangle: Rounded Corners 16">
          <a:hlinkClick xmlns:r="http://schemas.openxmlformats.org/officeDocument/2006/relationships" r:id="rId14"/>
          <a:extLst>
            <a:ext uri="{FF2B5EF4-FFF2-40B4-BE49-F238E27FC236}">
              <a16:creationId xmlns:a16="http://schemas.microsoft.com/office/drawing/2014/main" id="{0E5B22C6-D178-4B4E-81AA-FA9C355370E3}"/>
            </a:ext>
          </a:extLst>
        </xdr:cNvPr>
        <xdr:cNvSpPr/>
      </xdr:nvSpPr>
      <xdr:spPr>
        <a:xfrm>
          <a:off x="17732375" y="331851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HCF</a:t>
          </a:r>
          <a:endParaRPr lang="en-NL" sz="1100"/>
        </a:p>
      </xdr:txBody>
    </xdr:sp>
    <xdr:clientData fPrintsWithSheet="0"/>
  </xdr:twoCellAnchor>
  <xdr:twoCellAnchor editAs="oneCell">
    <xdr:from>
      <xdr:col>23</xdr:col>
      <xdr:colOff>619125</xdr:colOff>
      <xdr:row>7</xdr:row>
      <xdr:rowOff>59055</xdr:rowOff>
    </xdr:from>
    <xdr:to>
      <xdr:col>25</xdr:col>
      <xdr:colOff>84818</xdr:colOff>
      <xdr:row>7</xdr:row>
      <xdr:rowOff>431437</xdr:rowOff>
    </xdr:to>
    <xdr:sp macro="" textlink="">
      <xdr:nvSpPr>
        <xdr:cNvPr id="18" name="Rectangle: Rounded Corners 17">
          <a:hlinkClick xmlns:r="http://schemas.openxmlformats.org/officeDocument/2006/relationships" r:id="rId15"/>
          <a:extLst>
            <a:ext uri="{FF2B5EF4-FFF2-40B4-BE49-F238E27FC236}">
              <a16:creationId xmlns:a16="http://schemas.microsoft.com/office/drawing/2014/main" id="{89C3A386-0F1B-44D4-A6CA-E450779C464E}"/>
            </a:ext>
          </a:extLst>
        </xdr:cNvPr>
        <xdr:cNvSpPr/>
      </xdr:nvSpPr>
      <xdr:spPr>
        <a:xfrm>
          <a:off x="17732375" y="3853180"/>
          <a:ext cx="1913618" cy="369207"/>
        </a:xfrm>
        <a:prstGeom prst="roundRect">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District</a:t>
          </a:r>
          <a:r>
            <a:rPr lang="en-GB" sz="1100" baseline="0"/>
            <a:t> 1</a:t>
          </a:r>
          <a:endParaRPr lang="en-NL" sz="1100"/>
        </a:p>
      </xdr:txBody>
    </xdr:sp>
    <xdr:clientData fPrintsWithSheet="0"/>
  </xdr:twoCellAnchor>
  <xdr:twoCellAnchor editAs="oneCell">
    <xdr:from>
      <xdr:col>23</xdr:col>
      <xdr:colOff>619125</xdr:colOff>
      <xdr:row>7</xdr:row>
      <xdr:rowOff>593725</xdr:rowOff>
    </xdr:from>
    <xdr:to>
      <xdr:col>25</xdr:col>
      <xdr:colOff>84818</xdr:colOff>
      <xdr:row>7</xdr:row>
      <xdr:rowOff>959757</xdr:rowOff>
    </xdr:to>
    <xdr:sp macro="" textlink="">
      <xdr:nvSpPr>
        <xdr:cNvPr id="19" name="Rectangle: Rounded Corners 18">
          <a:hlinkClick xmlns:r="http://schemas.openxmlformats.org/officeDocument/2006/relationships" r:id="rId16"/>
          <a:extLst>
            <a:ext uri="{FF2B5EF4-FFF2-40B4-BE49-F238E27FC236}">
              <a16:creationId xmlns:a16="http://schemas.microsoft.com/office/drawing/2014/main" id="{14C1A7F6-EAFA-4853-BBFC-10903B6410C4}"/>
            </a:ext>
          </a:extLst>
        </xdr:cNvPr>
        <xdr:cNvSpPr/>
      </xdr:nvSpPr>
      <xdr:spPr>
        <a:xfrm>
          <a:off x="17732375" y="4387850"/>
          <a:ext cx="1913618" cy="369207"/>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tx1"/>
              </a:solidFill>
            </a:rPr>
            <a:t>Dashboard</a:t>
          </a:r>
          <a:endParaRPr lang="en-NL" sz="1100">
            <a:solidFill>
              <a:schemeClr val="tx1"/>
            </a:solidFill>
          </a:endParaRPr>
        </a:p>
      </xdr:txBody>
    </xdr:sp>
    <xdr:clientData fPrintsWithSheet="0"/>
  </xdr:twoCellAnchor>
  <xdr:twoCellAnchor editAs="oneCell">
    <xdr:from>
      <xdr:col>12</xdr:col>
      <xdr:colOff>290286</xdr:colOff>
      <xdr:row>11</xdr:row>
      <xdr:rowOff>181429</xdr:rowOff>
    </xdr:from>
    <xdr:to>
      <xdr:col>12</xdr:col>
      <xdr:colOff>943429</xdr:colOff>
      <xdr:row>11</xdr:row>
      <xdr:rowOff>834572</xdr:rowOff>
    </xdr:to>
    <xdr:pic>
      <xdr:nvPicPr>
        <xdr:cNvPr id="22" name="Picture 21">
          <a:extLst>
            <a:ext uri="{FF2B5EF4-FFF2-40B4-BE49-F238E27FC236}">
              <a16:creationId xmlns:a16="http://schemas.microsoft.com/office/drawing/2014/main" id="{509C78F0-5A68-2A41-BA21-F0E6E2D86856}"/>
            </a:ext>
          </a:extLst>
        </xdr:cNvPr>
        <xdr:cNvPicPr>
          <a:picLocks noChangeAspect="1"/>
        </xdr:cNvPicPr>
      </xdr:nvPicPr>
      <xdr:blipFill>
        <a:blip xmlns:r="http://schemas.openxmlformats.org/officeDocument/2006/relationships" r:embed="rId17"/>
        <a:stretch>
          <a:fillRect/>
        </a:stretch>
      </xdr:blipFill>
      <xdr:spPr>
        <a:xfrm>
          <a:off x="5406572" y="8128000"/>
          <a:ext cx="653143" cy="653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211667</xdr:colOff>
      <xdr:row>63</xdr:row>
      <xdr:rowOff>63501</xdr:rowOff>
    </xdr:from>
    <xdr:to>
      <xdr:col>12</xdr:col>
      <xdr:colOff>1123952</xdr:colOff>
      <xdr:row>63</xdr:row>
      <xdr:rowOff>963501</xdr:rowOff>
    </xdr:to>
    <xdr:pic>
      <xdr:nvPicPr>
        <xdr:cNvPr id="2" name="Picture 1">
          <a:extLst>
            <a:ext uri="{FF2B5EF4-FFF2-40B4-BE49-F238E27FC236}">
              <a16:creationId xmlns:a16="http://schemas.microsoft.com/office/drawing/2014/main" id="{DA862CDD-1173-4BC5-B631-F3163FC4DB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4917" y="64287401"/>
          <a:ext cx="912285" cy="900000"/>
        </a:xfrm>
        <a:prstGeom prst="rect">
          <a:avLst/>
        </a:prstGeom>
      </xdr:spPr>
    </xdr:pic>
    <xdr:clientData/>
  </xdr:twoCellAnchor>
  <xdr:twoCellAnchor>
    <xdr:from>
      <xdr:col>12</xdr:col>
      <xdr:colOff>232833</xdr:colOff>
      <xdr:row>29</xdr:row>
      <xdr:rowOff>84667</xdr:rowOff>
    </xdr:from>
    <xdr:to>
      <xdr:col>12</xdr:col>
      <xdr:colOff>1143972</xdr:colOff>
      <xdr:row>29</xdr:row>
      <xdr:rowOff>975142</xdr:rowOff>
    </xdr:to>
    <xdr:pic>
      <xdr:nvPicPr>
        <xdr:cNvPr id="3" name="Picture 2">
          <a:extLst>
            <a:ext uri="{FF2B5EF4-FFF2-40B4-BE49-F238E27FC236}">
              <a16:creationId xmlns:a16="http://schemas.microsoft.com/office/drawing/2014/main" id="{F001698B-6022-48F3-8D0F-706AB4878E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26083" y="28253267"/>
          <a:ext cx="911139" cy="890475"/>
        </a:xfrm>
        <a:prstGeom prst="rect">
          <a:avLst/>
        </a:prstGeom>
      </xdr:spPr>
    </xdr:pic>
    <xdr:clientData/>
  </xdr:twoCellAnchor>
  <xdr:twoCellAnchor>
    <xdr:from>
      <xdr:col>12</xdr:col>
      <xdr:colOff>169333</xdr:colOff>
      <xdr:row>16</xdr:row>
      <xdr:rowOff>74084</xdr:rowOff>
    </xdr:from>
    <xdr:to>
      <xdr:col>12</xdr:col>
      <xdr:colOff>1073503</xdr:colOff>
      <xdr:row>16</xdr:row>
      <xdr:rowOff>980434</xdr:rowOff>
    </xdr:to>
    <xdr:pic>
      <xdr:nvPicPr>
        <xdr:cNvPr id="4" name="Picture 3">
          <a:extLst>
            <a:ext uri="{FF2B5EF4-FFF2-40B4-BE49-F238E27FC236}">
              <a16:creationId xmlns:a16="http://schemas.microsoft.com/office/drawing/2014/main" id="{8B4123F9-89BE-45FD-A165-1F6A8EBE21E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62583" y="13396384"/>
          <a:ext cx="904170" cy="906350"/>
        </a:xfrm>
        <a:prstGeom prst="rect">
          <a:avLst/>
        </a:prstGeom>
      </xdr:spPr>
    </xdr:pic>
    <xdr:clientData/>
  </xdr:twoCellAnchor>
  <xdr:twoCellAnchor>
    <xdr:from>
      <xdr:col>12</xdr:col>
      <xdr:colOff>211666</xdr:colOff>
      <xdr:row>5</xdr:row>
      <xdr:rowOff>63501</xdr:rowOff>
    </xdr:from>
    <xdr:to>
      <xdr:col>12</xdr:col>
      <xdr:colOff>1122032</xdr:colOff>
      <xdr:row>5</xdr:row>
      <xdr:rowOff>960326</xdr:rowOff>
    </xdr:to>
    <xdr:pic>
      <xdr:nvPicPr>
        <xdr:cNvPr id="5" name="Picture 4">
          <a:extLst>
            <a:ext uri="{FF2B5EF4-FFF2-40B4-BE49-F238E27FC236}">
              <a16:creationId xmlns:a16="http://schemas.microsoft.com/office/drawing/2014/main" id="{4229F7B8-F9A7-4756-A32F-B1B1B7AF2B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04916" y="1720851"/>
          <a:ext cx="910366" cy="896825"/>
        </a:xfrm>
        <a:prstGeom prst="rect">
          <a:avLst/>
        </a:prstGeom>
      </xdr:spPr>
    </xdr:pic>
    <xdr:clientData/>
  </xdr:twoCellAnchor>
  <xdr:twoCellAnchor>
    <xdr:from>
      <xdr:col>12</xdr:col>
      <xdr:colOff>150284</xdr:colOff>
      <xdr:row>20</xdr:row>
      <xdr:rowOff>42334</xdr:rowOff>
    </xdr:from>
    <xdr:to>
      <xdr:col>12</xdr:col>
      <xdr:colOff>1054671</xdr:colOff>
      <xdr:row>20</xdr:row>
      <xdr:rowOff>942334</xdr:rowOff>
    </xdr:to>
    <xdr:pic>
      <xdr:nvPicPr>
        <xdr:cNvPr id="6" name="Picture 5">
          <a:extLst>
            <a:ext uri="{FF2B5EF4-FFF2-40B4-BE49-F238E27FC236}">
              <a16:creationId xmlns:a16="http://schemas.microsoft.com/office/drawing/2014/main" id="{CABA2FFF-1484-41E6-A230-31793000EFED}"/>
            </a:ext>
            <a:ext uri="{147F2762-F138-4A5C-976F-8EAC2B608ADB}">
              <a16:predDERef xmlns:a16="http://schemas.microsoft.com/office/drawing/2014/main" pred="{EE16E352-BF7A-492C-B78B-2EA1B6726EF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643534" y="18666884"/>
          <a:ext cx="904387" cy="900000"/>
        </a:xfrm>
        <a:prstGeom prst="rect">
          <a:avLst/>
        </a:prstGeom>
      </xdr:spPr>
    </xdr:pic>
    <xdr:clientData/>
  </xdr:twoCellAnchor>
  <xdr:twoCellAnchor>
    <xdr:from>
      <xdr:col>12</xdr:col>
      <xdr:colOff>232833</xdr:colOff>
      <xdr:row>57</xdr:row>
      <xdr:rowOff>52917</xdr:rowOff>
    </xdr:from>
    <xdr:to>
      <xdr:col>12</xdr:col>
      <xdr:colOff>1144315</xdr:colOff>
      <xdr:row>57</xdr:row>
      <xdr:rowOff>956092</xdr:rowOff>
    </xdr:to>
    <xdr:pic>
      <xdr:nvPicPr>
        <xdr:cNvPr id="7" name="Picture 6">
          <a:extLst>
            <a:ext uri="{FF2B5EF4-FFF2-40B4-BE49-F238E27FC236}">
              <a16:creationId xmlns:a16="http://schemas.microsoft.com/office/drawing/2014/main" id="{B84A32CD-E935-41BC-ADF4-903CB055AD7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726083" y="57914117"/>
          <a:ext cx="911482" cy="903175"/>
        </a:xfrm>
        <a:prstGeom prst="rect">
          <a:avLst/>
        </a:prstGeom>
      </xdr:spPr>
    </xdr:pic>
    <xdr:clientData/>
  </xdr:twoCellAnchor>
  <xdr:twoCellAnchor>
    <xdr:from>
      <xdr:col>12</xdr:col>
      <xdr:colOff>36890</xdr:colOff>
      <xdr:row>50</xdr:row>
      <xdr:rowOff>63500</xdr:rowOff>
    </xdr:from>
    <xdr:to>
      <xdr:col>12</xdr:col>
      <xdr:colOff>941371</xdr:colOff>
      <xdr:row>50</xdr:row>
      <xdr:rowOff>960325</xdr:rowOff>
    </xdr:to>
    <xdr:pic>
      <xdr:nvPicPr>
        <xdr:cNvPr id="8" name="Picture 7">
          <a:extLst>
            <a:ext uri="{FF2B5EF4-FFF2-40B4-BE49-F238E27FC236}">
              <a16:creationId xmlns:a16="http://schemas.microsoft.com/office/drawing/2014/main" id="{23D546E8-7050-4708-A57B-A9E9B3AA0E2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530140" y="50501550"/>
          <a:ext cx="904481" cy="896825"/>
        </a:xfrm>
        <a:prstGeom prst="rect">
          <a:avLst/>
        </a:prstGeom>
      </xdr:spPr>
    </xdr:pic>
    <xdr:clientData/>
  </xdr:twoCellAnchor>
  <xdr:twoCellAnchor>
    <xdr:from>
      <xdr:col>12</xdr:col>
      <xdr:colOff>275167</xdr:colOff>
      <xdr:row>44</xdr:row>
      <xdr:rowOff>95250</xdr:rowOff>
    </xdr:from>
    <xdr:to>
      <xdr:col>12</xdr:col>
      <xdr:colOff>1193400</xdr:colOff>
      <xdr:row>44</xdr:row>
      <xdr:rowOff>1001600</xdr:rowOff>
    </xdr:to>
    <xdr:pic>
      <xdr:nvPicPr>
        <xdr:cNvPr id="9" name="Picture 8">
          <a:extLst>
            <a:ext uri="{FF2B5EF4-FFF2-40B4-BE49-F238E27FC236}">
              <a16:creationId xmlns:a16="http://schemas.microsoft.com/office/drawing/2014/main" id="{1C3DDB7D-C6AD-41E7-A68F-A10D8E19540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768417" y="44170600"/>
          <a:ext cx="918233" cy="906350"/>
        </a:xfrm>
        <a:prstGeom prst="rect">
          <a:avLst/>
        </a:prstGeom>
      </xdr:spPr>
    </xdr:pic>
    <xdr:clientData/>
  </xdr:twoCellAnchor>
  <xdr:twoCellAnchor>
    <xdr:from>
      <xdr:col>12</xdr:col>
      <xdr:colOff>132292</xdr:colOff>
      <xdr:row>36</xdr:row>
      <xdr:rowOff>23283</xdr:rowOff>
    </xdr:from>
    <xdr:to>
      <xdr:col>12</xdr:col>
      <xdr:colOff>1050153</xdr:colOff>
      <xdr:row>36</xdr:row>
      <xdr:rowOff>929633</xdr:rowOff>
    </xdr:to>
    <xdr:pic>
      <xdr:nvPicPr>
        <xdr:cNvPr id="10" name="Picture 9">
          <a:extLst>
            <a:ext uri="{FF2B5EF4-FFF2-40B4-BE49-F238E27FC236}">
              <a16:creationId xmlns:a16="http://schemas.microsoft.com/office/drawing/2014/main" id="{E2DA24FE-6BB7-4517-BE0A-32985E20129D}"/>
            </a:ext>
            <a:ext uri="{147F2762-F138-4A5C-976F-8EAC2B608ADB}">
              <a16:predDERef xmlns:a16="http://schemas.microsoft.com/office/drawing/2014/main" pred="{F0E2A137-BD61-47B2-AA4C-29C10EAAB5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625542" y="35615033"/>
          <a:ext cx="917861" cy="906350"/>
        </a:xfrm>
        <a:prstGeom prst="rect">
          <a:avLst/>
        </a:prstGeom>
      </xdr:spPr>
    </xdr:pic>
    <xdr:clientData/>
  </xdr:twoCellAnchor>
  <xdr:twoCellAnchor>
    <xdr:from>
      <xdr:col>12</xdr:col>
      <xdr:colOff>169333</xdr:colOff>
      <xdr:row>11</xdr:row>
      <xdr:rowOff>74084</xdr:rowOff>
    </xdr:from>
    <xdr:to>
      <xdr:col>12</xdr:col>
      <xdr:colOff>1073503</xdr:colOff>
      <xdr:row>11</xdr:row>
      <xdr:rowOff>980434</xdr:rowOff>
    </xdr:to>
    <xdr:pic>
      <xdr:nvPicPr>
        <xdr:cNvPr id="12" name="Picture 11">
          <a:extLst>
            <a:ext uri="{FF2B5EF4-FFF2-40B4-BE49-F238E27FC236}">
              <a16:creationId xmlns:a16="http://schemas.microsoft.com/office/drawing/2014/main" id="{610A766E-F4D0-4E58-A6CB-6ACBCDDB4E5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62583" y="8094134"/>
          <a:ext cx="904170" cy="906350"/>
        </a:xfrm>
        <a:prstGeom prst="rect">
          <a:avLst/>
        </a:prstGeom>
      </xdr:spPr>
    </xdr:pic>
    <xdr:clientData/>
  </xdr:twoCellAnchor>
  <xdr:twoCellAnchor editAs="oneCell">
    <xdr:from>
      <xdr:col>23</xdr:col>
      <xdr:colOff>590549</xdr:colOff>
      <xdr:row>0</xdr:row>
      <xdr:rowOff>111125</xdr:rowOff>
    </xdr:from>
    <xdr:to>
      <xdr:col>26</xdr:col>
      <xdr:colOff>692150</xdr:colOff>
      <xdr:row>3</xdr:row>
      <xdr:rowOff>0</xdr:rowOff>
    </xdr:to>
    <mc:AlternateContent xmlns:mc="http://schemas.openxmlformats.org/markup-compatibility/2006" xmlns:sle15="http://schemas.microsoft.com/office/drawing/2012/slicer">
      <mc:Choice Requires="sle15">
        <xdr:graphicFrame macro="">
          <xdr:nvGraphicFramePr>
            <xdr:cNvPr id="13" name="Show 1">
              <a:extLst>
                <a:ext uri="{FF2B5EF4-FFF2-40B4-BE49-F238E27FC236}">
                  <a16:creationId xmlns:a16="http://schemas.microsoft.com/office/drawing/2014/main" id="{E8E375BD-8CFF-4709-A0B2-B2D3540493C0}"/>
                </a:ext>
              </a:extLst>
            </xdr:cNvPr>
            <xdr:cNvGraphicFramePr/>
          </xdr:nvGraphicFramePr>
          <xdr:xfrm>
            <a:off x="0" y="0"/>
            <a:ext cx="0" cy="0"/>
          </xdr:xfrm>
          <a:graphic>
            <a:graphicData uri="http://schemas.microsoft.com/office/drawing/2010/slicer">
              <sle:slicer xmlns:sle="http://schemas.microsoft.com/office/drawing/2010/slicer" name="Show 1"/>
            </a:graphicData>
          </a:graphic>
        </xdr:graphicFrame>
      </mc:Choice>
      <mc:Fallback xmlns="">
        <xdr:sp macro="" textlink="">
          <xdr:nvSpPr>
            <xdr:cNvPr id="0" name=""/>
            <xdr:cNvSpPr>
              <a:spLocks noTextEdit="1"/>
            </xdr:cNvSpPr>
          </xdr:nvSpPr>
          <xdr:spPr>
            <a:xfrm>
              <a:off x="25180924" y="111125"/>
              <a:ext cx="2679701" cy="679450"/>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PrintsWithSheet="0"/>
  </xdr:twoCellAnchor>
  <xdr:twoCellAnchor editAs="oneCell">
    <xdr:from>
      <xdr:col>23</xdr:col>
      <xdr:colOff>587375</xdr:colOff>
      <xdr:row>3</xdr:row>
      <xdr:rowOff>190500</xdr:rowOff>
    </xdr:from>
    <xdr:to>
      <xdr:col>25</xdr:col>
      <xdr:colOff>713515</xdr:colOff>
      <xdr:row>4</xdr:row>
      <xdr:rowOff>228600</xdr:rowOff>
    </xdr:to>
    <xdr:sp macro="" textlink="">
      <xdr:nvSpPr>
        <xdr:cNvPr id="15" name="Rectangle: Rounded Corners 14">
          <a:hlinkClick xmlns:r="http://schemas.openxmlformats.org/officeDocument/2006/relationships" r:id="rId10"/>
          <a:extLst>
            <a:ext uri="{FF2B5EF4-FFF2-40B4-BE49-F238E27FC236}">
              <a16:creationId xmlns:a16="http://schemas.microsoft.com/office/drawing/2014/main" id="{009780F4-3AA7-49BE-BCD7-1917E42E796B}"/>
            </a:ext>
          </a:extLst>
        </xdr:cNvPr>
        <xdr:cNvSpPr/>
      </xdr:nvSpPr>
      <xdr:spPr>
        <a:xfrm>
          <a:off x="25177750" y="984250"/>
          <a:ext cx="1846990" cy="3714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Download Print friendly </a:t>
          </a:r>
          <a:endParaRPr lang="en-NL" sz="1100"/>
        </a:p>
      </xdr:txBody>
    </xdr:sp>
    <xdr:clientData fPrintsWithSheet="0"/>
  </xdr:twoCellAnchor>
  <xdr:twoCellAnchor editAs="oneCell">
    <xdr:from>
      <xdr:col>23</xdr:col>
      <xdr:colOff>523875</xdr:colOff>
      <xdr:row>5</xdr:row>
      <xdr:rowOff>47625</xdr:rowOff>
    </xdr:from>
    <xdr:to>
      <xdr:col>25</xdr:col>
      <xdr:colOff>722993</xdr:colOff>
      <xdr:row>5</xdr:row>
      <xdr:rowOff>416832</xdr:rowOff>
    </xdr:to>
    <xdr:sp macro="" textlink="">
      <xdr:nvSpPr>
        <xdr:cNvPr id="11" name="Rectangle: Rounded Corners 10">
          <a:hlinkClick xmlns:r="http://schemas.openxmlformats.org/officeDocument/2006/relationships" r:id="rId11"/>
          <a:extLst>
            <a:ext uri="{FF2B5EF4-FFF2-40B4-BE49-F238E27FC236}">
              <a16:creationId xmlns:a16="http://schemas.microsoft.com/office/drawing/2014/main" id="{1BA4CEED-7905-489B-8F3A-65C9202A56F0}"/>
            </a:ext>
          </a:extLst>
        </xdr:cNvPr>
        <xdr:cNvSpPr/>
      </xdr:nvSpPr>
      <xdr:spPr>
        <a:xfrm>
          <a:off x="25114250" y="1714500"/>
          <a:ext cx="1913618" cy="369207"/>
        </a:xfrm>
        <a:prstGeom prst="roundRect">
          <a:avLst/>
        </a:prstGeom>
        <a:solidFill>
          <a:schemeClr val="tx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Guidance</a:t>
          </a:r>
          <a:endParaRPr lang="en-NL" sz="1100"/>
        </a:p>
      </xdr:txBody>
    </xdr:sp>
    <xdr:clientData fPrintsWithSheet="0"/>
  </xdr:twoCellAnchor>
  <xdr:twoCellAnchor editAs="oneCell">
    <xdr:from>
      <xdr:col>23</xdr:col>
      <xdr:colOff>523875</xdr:colOff>
      <xdr:row>5</xdr:row>
      <xdr:rowOff>582295</xdr:rowOff>
    </xdr:from>
    <xdr:to>
      <xdr:col>25</xdr:col>
      <xdr:colOff>722993</xdr:colOff>
      <xdr:row>5</xdr:row>
      <xdr:rowOff>951502</xdr:rowOff>
    </xdr:to>
    <xdr:sp macro="" textlink="">
      <xdr:nvSpPr>
        <xdr:cNvPr id="14" name="Rectangle: Rounded Corners 13">
          <a:hlinkClick xmlns:r="http://schemas.openxmlformats.org/officeDocument/2006/relationships" r:id="rId12"/>
          <a:extLst>
            <a:ext uri="{FF2B5EF4-FFF2-40B4-BE49-F238E27FC236}">
              <a16:creationId xmlns:a16="http://schemas.microsoft.com/office/drawing/2014/main" id="{2AC40B83-D2B8-4957-8A4B-D25A52F9BB32}"/>
            </a:ext>
          </a:extLst>
        </xdr:cNvPr>
        <xdr:cNvSpPr/>
      </xdr:nvSpPr>
      <xdr:spPr>
        <a:xfrm>
          <a:off x="25114250" y="224917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Water</a:t>
          </a:r>
          <a:endParaRPr lang="en-NL" sz="1100"/>
        </a:p>
      </xdr:txBody>
    </xdr:sp>
    <xdr:clientData fPrintsWithSheet="0"/>
  </xdr:twoCellAnchor>
  <xdr:twoCellAnchor editAs="oneCell">
    <xdr:from>
      <xdr:col>23</xdr:col>
      <xdr:colOff>523875</xdr:colOff>
      <xdr:row>6</xdr:row>
      <xdr:rowOff>53340</xdr:rowOff>
    </xdr:from>
    <xdr:to>
      <xdr:col>25</xdr:col>
      <xdr:colOff>722993</xdr:colOff>
      <xdr:row>6</xdr:row>
      <xdr:rowOff>428897</xdr:rowOff>
    </xdr:to>
    <xdr:sp macro="" textlink="">
      <xdr:nvSpPr>
        <xdr:cNvPr id="16" name="Rectangle: Rounded Corners 15">
          <a:hlinkClick xmlns:r="http://schemas.openxmlformats.org/officeDocument/2006/relationships" r:id="rId13"/>
          <a:extLst>
            <a:ext uri="{FF2B5EF4-FFF2-40B4-BE49-F238E27FC236}">
              <a16:creationId xmlns:a16="http://schemas.microsoft.com/office/drawing/2014/main" id="{BA60A504-EDC6-4808-AED6-FA541D87CC6C}"/>
            </a:ext>
          </a:extLst>
        </xdr:cNvPr>
        <xdr:cNvSpPr/>
      </xdr:nvSpPr>
      <xdr:spPr>
        <a:xfrm>
          <a:off x="25114250" y="278384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S&amp;H</a:t>
          </a:r>
          <a:endParaRPr lang="en-NL" sz="1100"/>
        </a:p>
      </xdr:txBody>
    </xdr:sp>
    <xdr:clientData fPrintsWithSheet="0"/>
  </xdr:twoCellAnchor>
  <xdr:twoCellAnchor editAs="oneCell">
    <xdr:from>
      <xdr:col>23</xdr:col>
      <xdr:colOff>523875</xdr:colOff>
      <xdr:row>6</xdr:row>
      <xdr:rowOff>588010</xdr:rowOff>
    </xdr:from>
    <xdr:to>
      <xdr:col>25</xdr:col>
      <xdr:colOff>722993</xdr:colOff>
      <xdr:row>6</xdr:row>
      <xdr:rowOff>963567</xdr:rowOff>
    </xdr:to>
    <xdr:sp macro="" textlink="">
      <xdr:nvSpPr>
        <xdr:cNvPr id="17" name="Rectangle: Rounded Corners 16">
          <a:hlinkClick xmlns:r="http://schemas.openxmlformats.org/officeDocument/2006/relationships" r:id="rId14"/>
          <a:extLst>
            <a:ext uri="{FF2B5EF4-FFF2-40B4-BE49-F238E27FC236}">
              <a16:creationId xmlns:a16="http://schemas.microsoft.com/office/drawing/2014/main" id="{8756598C-00CF-4EE0-A829-4601BAA001C7}"/>
            </a:ext>
          </a:extLst>
        </xdr:cNvPr>
        <xdr:cNvSpPr/>
      </xdr:nvSpPr>
      <xdr:spPr>
        <a:xfrm>
          <a:off x="25114250" y="331851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HCF</a:t>
          </a:r>
          <a:endParaRPr lang="en-NL" sz="1100"/>
        </a:p>
      </xdr:txBody>
    </xdr:sp>
    <xdr:clientData fPrintsWithSheet="0"/>
  </xdr:twoCellAnchor>
  <xdr:twoCellAnchor editAs="oneCell">
    <xdr:from>
      <xdr:col>23</xdr:col>
      <xdr:colOff>523875</xdr:colOff>
      <xdr:row>7</xdr:row>
      <xdr:rowOff>59055</xdr:rowOff>
    </xdr:from>
    <xdr:to>
      <xdr:col>25</xdr:col>
      <xdr:colOff>722993</xdr:colOff>
      <xdr:row>7</xdr:row>
      <xdr:rowOff>428262</xdr:rowOff>
    </xdr:to>
    <xdr:sp macro="" textlink="">
      <xdr:nvSpPr>
        <xdr:cNvPr id="18" name="Rectangle: Rounded Corners 17">
          <a:hlinkClick xmlns:r="http://schemas.openxmlformats.org/officeDocument/2006/relationships" r:id="rId15"/>
          <a:extLst>
            <a:ext uri="{FF2B5EF4-FFF2-40B4-BE49-F238E27FC236}">
              <a16:creationId xmlns:a16="http://schemas.microsoft.com/office/drawing/2014/main" id="{B2CC56EC-7F13-4205-B7CC-E068898DFFC2}"/>
            </a:ext>
          </a:extLst>
        </xdr:cNvPr>
        <xdr:cNvSpPr/>
      </xdr:nvSpPr>
      <xdr:spPr>
        <a:xfrm>
          <a:off x="25114250" y="3853180"/>
          <a:ext cx="1913618" cy="369207"/>
        </a:xfrm>
        <a:prstGeom prst="roundRect">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District</a:t>
          </a:r>
          <a:r>
            <a:rPr lang="en-GB" sz="1100" baseline="0"/>
            <a:t> 1</a:t>
          </a:r>
          <a:endParaRPr lang="en-NL" sz="1100"/>
        </a:p>
      </xdr:txBody>
    </xdr:sp>
    <xdr:clientData fPrintsWithSheet="0"/>
  </xdr:twoCellAnchor>
  <xdr:twoCellAnchor editAs="oneCell">
    <xdr:from>
      <xdr:col>23</xdr:col>
      <xdr:colOff>523875</xdr:colOff>
      <xdr:row>7</xdr:row>
      <xdr:rowOff>593725</xdr:rowOff>
    </xdr:from>
    <xdr:to>
      <xdr:col>25</xdr:col>
      <xdr:colOff>722993</xdr:colOff>
      <xdr:row>7</xdr:row>
      <xdr:rowOff>962932</xdr:rowOff>
    </xdr:to>
    <xdr:sp macro="" textlink="">
      <xdr:nvSpPr>
        <xdr:cNvPr id="19" name="Rectangle: Rounded Corners 18">
          <a:hlinkClick xmlns:r="http://schemas.openxmlformats.org/officeDocument/2006/relationships" r:id="rId16"/>
          <a:extLst>
            <a:ext uri="{FF2B5EF4-FFF2-40B4-BE49-F238E27FC236}">
              <a16:creationId xmlns:a16="http://schemas.microsoft.com/office/drawing/2014/main" id="{7EF22D0C-AE2B-4250-A3FB-47EE8883F569}"/>
            </a:ext>
          </a:extLst>
        </xdr:cNvPr>
        <xdr:cNvSpPr/>
      </xdr:nvSpPr>
      <xdr:spPr>
        <a:xfrm>
          <a:off x="25114250" y="4387850"/>
          <a:ext cx="1913618" cy="369207"/>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tx1"/>
              </a:solidFill>
            </a:rPr>
            <a:t>Dashboard</a:t>
          </a:r>
          <a:endParaRPr lang="en-NL" sz="1100">
            <a:solidFill>
              <a:schemeClr val="tx1"/>
            </a:solidFill>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12</xdr:col>
      <xdr:colOff>211667</xdr:colOff>
      <xdr:row>55</xdr:row>
      <xdr:rowOff>63501</xdr:rowOff>
    </xdr:from>
    <xdr:to>
      <xdr:col>12</xdr:col>
      <xdr:colOff>1123952</xdr:colOff>
      <xdr:row>55</xdr:row>
      <xdr:rowOff>963501</xdr:rowOff>
    </xdr:to>
    <xdr:pic>
      <xdr:nvPicPr>
        <xdr:cNvPr id="2" name="Picture 1">
          <a:extLst>
            <a:ext uri="{FF2B5EF4-FFF2-40B4-BE49-F238E27FC236}">
              <a16:creationId xmlns:a16="http://schemas.microsoft.com/office/drawing/2014/main" id="{1CE4D5F2-7047-4A9D-92BD-619D34E3A8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4917" y="64287401"/>
          <a:ext cx="912285" cy="900000"/>
        </a:xfrm>
        <a:prstGeom prst="rect">
          <a:avLst/>
        </a:prstGeom>
      </xdr:spPr>
    </xdr:pic>
    <xdr:clientData/>
  </xdr:twoCellAnchor>
  <xdr:twoCellAnchor>
    <xdr:from>
      <xdr:col>12</xdr:col>
      <xdr:colOff>232833</xdr:colOff>
      <xdr:row>26</xdr:row>
      <xdr:rowOff>84667</xdr:rowOff>
    </xdr:from>
    <xdr:to>
      <xdr:col>12</xdr:col>
      <xdr:colOff>1143972</xdr:colOff>
      <xdr:row>26</xdr:row>
      <xdr:rowOff>975142</xdr:rowOff>
    </xdr:to>
    <xdr:pic>
      <xdr:nvPicPr>
        <xdr:cNvPr id="3" name="Picture 2">
          <a:extLst>
            <a:ext uri="{FF2B5EF4-FFF2-40B4-BE49-F238E27FC236}">
              <a16:creationId xmlns:a16="http://schemas.microsoft.com/office/drawing/2014/main" id="{1F341CC2-7EB5-45DC-8C36-E30246B45F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26083" y="28253267"/>
          <a:ext cx="911139" cy="890475"/>
        </a:xfrm>
        <a:prstGeom prst="rect">
          <a:avLst/>
        </a:prstGeom>
      </xdr:spPr>
    </xdr:pic>
    <xdr:clientData/>
  </xdr:twoCellAnchor>
  <xdr:twoCellAnchor>
    <xdr:from>
      <xdr:col>12</xdr:col>
      <xdr:colOff>169333</xdr:colOff>
      <xdr:row>14</xdr:row>
      <xdr:rowOff>74084</xdr:rowOff>
    </xdr:from>
    <xdr:to>
      <xdr:col>12</xdr:col>
      <xdr:colOff>1073503</xdr:colOff>
      <xdr:row>14</xdr:row>
      <xdr:rowOff>980434</xdr:rowOff>
    </xdr:to>
    <xdr:pic>
      <xdr:nvPicPr>
        <xdr:cNvPr id="4" name="Picture 3">
          <a:extLst>
            <a:ext uri="{FF2B5EF4-FFF2-40B4-BE49-F238E27FC236}">
              <a16:creationId xmlns:a16="http://schemas.microsoft.com/office/drawing/2014/main" id="{2E3D44D7-F8E8-4385-8CF7-18C7916E213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62583" y="13396384"/>
          <a:ext cx="904170" cy="906350"/>
        </a:xfrm>
        <a:prstGeom prst="rect">
          <a:avLst/>
        </a:prstGeom>
      </xdr:spPr>
    </xdr:pic>
    <xdr:clientData/>
  </xdr:twoCellAnchor>
  <xdr:twoCellAnchor>
    <xdr:from>
      <xdr:col>12</xdr:col>
      <xdr:colOff>211666</xdr:colOff>
      <xdr:row>5</xdr:row>
      <xdr:rowOff>63501</xdr:rowOff>
    </xdr:from>
    <xdr:to>
      <xdr:col>12</xdr:col>
      <xdr:colOff>1122032</xdr:colOff>
      <xdr:row>5</xdr:row>
      <xdr:rowOff>960326</xdr:rowOff>
    </xdr:to>
    <xdr:pic>
      <xdr:nvPicPr>
        <xdr:cNvPr id="5" name="Picture 4">
          <a:extLst>
            <a:ext uri="{FF2B5EF4-FFF2-40B4-BE49-F238E27FC236}">
              <a16:creationId xmlns:a16="http://schemas.microsoft.com/office/drawing/2014/main" id="{10E65479-8787-47E8-8D69-30C0FBEF70C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04916" y="1720851"/>
          <a:ext cx="910366" cy="896825"/>
        </a:xfrm>
        <a:prstGeom prst="rect">
          <a:avLst/>
        </a:prstGeom>
      </xdr:spPr>
    </xdr:pic>
    <xdr:clientData/>
  </xdr:twoCellAnchor>
  <xdr:twoCellAnchor>
    <xdr:from>
      <xdr:col>12</xdr:col>
      <xdr:colOff>150284</xdr:colOff>
      <xdr:row>18</xdr:row>
      <xdr:rowOff>42334</xdr:rowOff>
    </xdr:from>
    <xdr:to>
      <xdr:col>12</xdr:col>
      <xdr:colOff>1054671</xdr:colOff>
      <xdr:row>18</xdr:row>
      <xdr:rowOff>942334</xdr:rowOff>
    </xdr:to>
    <xdr:pic>
      <xdr:nvPicPr>
        <xdr:cNvPr id="6" name="Picture 5">
          <a:extLst>
            <a:ext uri="{FF2B5EF4-FFF2-40B4-BE49-F238E27FC236}">
              <a16:creationId xmlns:a16="http://schemas.microsoft.com/office/drawing/2014/main" id="{0B993F60-88F6-48CD-9E90-5D91971B72B7}"/>
            </a:ext>
            <a:ext uri="{147F2762-F138-4A5C-976F-8EAC2B608ADB}">
              <a16:predDERef xmlns:a16="http://schemas.microsoft.com/office/drawing/2014/main" pred="{EE16E352-BF7A-492C-B78B-2EA1B6726EF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643534" y="18666884"/>
          <a:ext cx="904387" cy="900000"/>
        </a:xfrm>
        <a:prstGeom prst="rect">
          <a:avLst/>
        </a:prstGeom>
      </xdr:spPr>
    </xdr:pic>
    <xdr:clientData/>
  </xdr:twoCellAnchor>
  <xdr:twoCellAnchor>
    <xdr:from>
      <xdr:col>12</xdr:col>
      <xdr:colOff>232833</xdr:colOff>
      <xdr:row>51</xdr:row>
      <xdr:rowOff>52917</xdr:rowOff>
    </xdr:from>
    <xdr:to>
      <xdr:col>12</xdr:col>
      <xdr:colOff>1144315</xdr:colOff>
      <xdr:row>51</xdr:row>
      <xdr:rowOff>956092</xdr:rowOff>
    </xdr:to>
    <xdr:pic>
      <xdr:nvPicPr>
        <xdr:cNvPr id="7" name="Picture 6">
          <a:extLst>
            <a:ext uri="{FF2B5EF4-FFF2-40B4-BE49-F238E27FC236}">
              <a16:creationId xmlns:a16="http://schemas.microsoft.com/office/drawing/2014/main" id="{FED9B2B3-C774-4C5B-909B-F0BB4EAE9E4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726083" y="57914117"/>
          <a:ext cx="911482" cy="903175"/>
        </a:xfrm>
        <a:prstGeom prst="rect">
          <a:avLst/>
        </a:prstGeom>
      </xdr:spPr>
    </xdr:pic>
    <xdr:clientData/>
  </xdr:twoCellAnchor>
  <xdr:twoCellAnchor>
    <xdr:from>
      <xdr:col>12</xdr:col>
      <xdr:colOff>36890</xdr:colOff>
      <xdr:row>46</xdr:row>
      <xdr:rowOff>63500</xdr:rowOff>
    </xdr:from>
    <xdr:to>
      <xdr:col>12</xdr:col>
      <xdr:colOff>941371</xdr:colOff>
      <xdr:row>46</xdr:row>
      <xdr:rowOff>960325</xdr:rowOff>
    </xdr:to>
    <xdr:pic>
      <xdr:nvPicPr>
        <xdr:cNvPr id="8" name="Picture 7">
          <a:extLst>
            <a:ext uri="{FF2B5EF4-FFF2-40B4-BE49-F238E27FC236}">
              <a16:creationId xmlns:a16="http://schemas.microsoft.com/office/drawing/2014/main" id="{76D98F73-2AA4-4035-9A20-0F4214917AA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530140" y="50501550"/>
          <a:ext cx="904481" cy="896825"/>
        </a:xfrm>
        <a:prstGeom prst="rect">
          <a:avLst/>
        </a:prstGeom>
      </xdr:spPr>
    </xdr:pic>
    <xdr:clientData/>
  </xdr:twoCellAnchor>
  <xdr:twoCellAnchor>
    <xdr:from>
      <xdr:col>12</xdr:col>
      <xdr:colOff>275167</xdr:colOff>
      <xdr:row>40</xdr:row>
      <xdr:rowOff>95250</xdr:rowOff>
    </xdr:from>
    <xdr:to>
      <xdr:col>12</xdr:col>
      <xdr:colOff>1193400</xdr:colOff>
      <xdr:row>40</xdr:row>
      <xdr:rowOff>1001600</xdr:rowOff>
    </xdr:to>
    <xdr:pic>
      <xdr:nvPicPr>
        <xdr:cNvPr id="9" name="Picture 8">
          <a:extLst>
            <a:ext uri="{FF2B5EF4-FFF2-40B4-BE49-F238E27FC236}">
              <a16:creationId xmlns:a16="http://schemas.microsoft.com/office/drawing/2014/main" id="{13BDC7F4-D2E5-4B3D-B842-56E97BDC0C7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768417" y="44170600"/>
          <a:ext cx="918233" cy="906350"/>
        </a:xfrm>
        <a:prstGeom prst="rect">
          <a:avLst/>
        </a:prstGeom>
      </xdr:spPr>
    </xdr:pic>
    <xdr:clientData/>
  </xdr:twoCellAnchor>
  <xdr:twoCellAnchor>
    <xdr:from>
      <xdr:col>12</xdr:col>
      <xdr:colOff>132292</xdr:colOff>
      <xdr:row>33</xdr:row>
      <xdr:rowOff>23283</xdr:rowOff>
    </xdr:from>
    <xdr:to>
      <xdr:col>12</xdr:col>
      <xdr:colOff>1050153</xdr:colOff>
      <xdr:row>33</xdr:row>
      <xdr:rowOff>929633</xdr:rowOff>
    </xdr:to>
    <xdr:pic>
      <xdr:nvPicPr>
        <xdr:cNvPr id="10" name="Picture 9">
          <a:extLst>
            <a:ext uri="{FF2B5EF4-FFF2-40B4-BE49-F238E27FC236}">
              <a16:creationId xmlns:a16="http://schemas.microsoft.com/office/drawing/2014/main" id="{4727A5AD-FD86-4514-9426-45D107A50699}"/>
            </a:ext>
            <a:ext uri="{147F2762-F138-4A5C-976F-8EAC2B608ADB}">
              <a16:predDERef xmlns:a16="http://schemas.microsoft.com/office/drawing/2014/main" pred="{F0E2A137-BD61-47B2-AA4C-29C10EAAB5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625542" y="35615033"/>
          <a:ext cx="917861" cy="906350"/>
        </a:xfrm>
        <a:prstGeom prst="rect">
          <a:avLst/>
        </a:prstGeom>
      </xdr:spPr>
    </xdr:pic>
    <xdr:clientData/>
  </xdr:twoCellAnchor>
  <xdr:twoCellAnchor>
    <xdr:from>
      <xdr:col>12</xdr:col>
      <xdr:colOff>169333</xdr:colOff>
      <xdr:row>9</xdr:row>
      <xdr:rowOff>74084</xdr:rowOff>
    </xdr:from>
    <xdr:to>
      <xdr:col>12</xdr:col>
      <xdr:colOff>1073503</xdr:colOff>
      <xdr:row>9</xdr:row>
      <xdr:rowOff>980434</xdr:rowOff>
    </xdr:to>
    <xdr:pic>
      <xdr:nvPicPr>
        <xdr:cNvPr id="12" name="Picture 11">
          <a:extLst>
            <a:ext uri="{FF2B5EF4-FFF2-40B4-BE49-F238E27FC236}">
              <a16:creationId xmlns:a16="http://schemas.microsoft.com/office/drawing/2014/main" id="{9FE27818-7630-4B80-9783-24138C868F2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62583" y="8094134"/>
          <a:ext cx="904170" cy="906350"/>
        </a:xfrm>
        <a:prstGeom prst="rect">
          <a:avLst/>
        </a:prstGeom>
      </xdr:spPr>
    </xdr:pic>
    <xdr:clientData/>
  </xdr:twoCellAnchor>
  <xdr:twoCellAnchor editAs="oneCell">
    <xdr:from>
      <xdr:col>23</xdr:col>
      <xdr:colOff>558799</xdr:colOff>
      <xdr:row>0</xdr:row>
      <xdr:rowOff>127000</xdr:rowOff>
    </xdr:from>
    <xdr:to>
      <xdr:col>26</xdr:col>
      <xdr:colOff>666750</xdr:colOff>
      <xdr:row>3</xdr:row>
      <xdr:rowOff>12700</xdr:rowOff>
    </xdr:to>
    <mc:AlternateContent xmlns:mc="http://schemas.openxmlformats.org/markup-compatibility/2006" xmlns:sle15="http://schemas.microsoft.com/office/drawing/2012/slicer">
      <mc:Choice Requires="sle15">
        <xdr:graphicFrame macro="">
          <xdr:nvGraphicFramePr>
            <xdr:cNvPr id="13" name="Show 2">
              <a:extLst>
                <a:ext uri="{FF2B5EF4-FFF2-40B4-BE49-F238E27FC236}">
                  <a16:creationId xmlns:a16="http://schemas.microsoft.com/office/drawing/2014/main" id="{84DCDB1E-231A-4B05-BEAF-37531A240F6F}"/>
                </a:ext>
              </a:extLst>
            </xdr:cNvPr>
            <xdr:cNvGraphicFramePr/>
          </xdr:nvGraphicFramePr>
          <xdr:xfrm>
            <a:off x="0" y="0"/>
            <a:ext cx="0" cy="0"/>
          </xdr:xfrm>
          <a:graphic>
            <a:graphicData uri="http://schemas.microsoft.com/office/drawing/2010/slicer">
              <sle:slicer xmlns:sle="http://schemas.microsoft.com/office/drawing/2010/slicer" name="Show 2"/>
            </a:graphicData>
          </a:graphic>
        </xdr:graphicFrame>
      </mc:Choice>
      <mc:Fallback xmlns="">
        <xdr:sp macro="" textlink="">
          <xdr:nvSpPr>
            <xdr:cNvPr id="0" name=""/>
            <xdr:cNvSpPr>
              <a:spLocks noTextEdit="1"/>
            </xdr:cNvSpPr>
          </xdr:nvSpPr>
          <xdr:spPr>
            <a:xfrm>
              <a:off x="25149174" y="127000"/>
              <a:ext cx="2679701" cy="679450"/>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PrintsWithSheet="0"/>
  </xdr:twoCellAnchor>
  <xdr:twoCellAnchor editAs="oneCell">
    <xdr:from>
      <xdr:col>0</xdr:col>
      <xdr:colOff>0</xdr:colOff>
      <xdr:row>0</xdr:row>
      <xdr:rowOff>0</xdr:rowOff>
    </xdr:from>
    <xdr:to>
      <xdr:col>10</xdr:col>
      <xdr:colOff>135618</xdr:colOff>
      <xdr:row>1</xdr:row>
      <xdr:rowOff>131082</xdr:rowOff>
    </xdr:to>
    <xdr:sp macro="" textlink="">
      <xdr:nvSpPr>
        <xdr:cNvPr id="14" name="Rectangle: Rounded Corners 13">
          <a:hlinkClick xmlns:r="http://schemas.openxmlformats.org/officeDocument/2006/relationships" r:id="rId10"/>
          <a:extLst>
            <a:ext uri="{FF2B5EF4-FFF2-40B4-BE49-F238E27FC236}">
              <a16:creationId xmlns:a16="http://schemas.microsoft.com/office/drawing/2014/main" id="{5FE28123-3D1D-423A-8277-143C95E06E58}"/>
            </a:ext>
          </a:extLst>
        </xdr:cNvPr>
        <xdr:cNvSpPr/>
      </xdr:nvSpPr>
      <xdr:spPr>
        <a:xfrm>
          <a:off x="0" y="0"/>
          <a:ext cx="1913618" cy="36920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Download Print friendly </a:t>
          </a:r>
          <a:endParaRPr lang="en-NL" sz="1100"/>
        </a:p>
      </xdr:txBody>
    </xdr:sp>
    <xdr:clientData fPrintsWithSheet="0"/>
  </xdr:twoCellAnchor>
  <xdr:twoCellAnchor editAs="oneCell">
    <xdr:from>
      <xdr:col>23</xdr:col>
      <xdr:colOff>587375</xdr:colOff>
      <xdr:row>3</xdr:row>
      <xdr:rowOff>317500</xdr:rowOff>
    </xdr:from>
    <xdr:to>
      <xdr:col>25</xdr:col>
      <xdr:colOff>786493</xdr:colOff>
      <xdr:row>4</xdr:row>
      <xdr:rowOff>353332</xdr:rowOff>
    </xdr:to>
    <xdr:sp macro="" textlink="">
      <xdr:nvSpPr>
        <xdr:cNvPr id="15" name="Rectangle: Rounded Corners 14">
          <a:hlinkClick xmlns:r="http://schemas.openxmlformats.org/officeDocument/2006/relationships" r:id="rId10"/>
          <a:extLst>
            <a:ext uri="{FF2B5EF4-FFF2-40B4-BE49-F238E27FC236}">
              <a16:creationId xmlns:a16="http://schemas.microsoft.com/office/drawing/2014/main" id="{60EC08DA-A6B8-4D0B-BF83-6A7C719883DD}"/>
            </a:ext>
          </a:extLst>
        </xdr:cNvPr>
        <xdr:cNvSpPr/>
      </xdr:nvSpPr>
      <xdr:spPr>
        <a:xfrm>
          <a:off x="25177750" y="1111250"/>
          <a:ext cx="1913618" cy="36920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Download Print friendly </a:t>
          </a:r>
          <a:endParaRPr lang="en-NL" sz="1100"/>
        </a:p>
      </xdr:txBody>
    </xdr:sp>
    <xdr:clientData fPrintsWithSheet="0"/>
  </xdr:twoCellAnchor>
  <xdr:twoCellAnchor editAs="oneCell">
    <xdr:from>
      <xdr:col>23</xdr:col>
      <xdr:colOff>619125</xdr:colOff>
      <xdr:row>5</xdr:row>
      <xdr:rowOff>63500</xdr:rowOff>
    </xdr:from>
    <xdr:to>
      <xdr:col>25</xdr:col>
      <xdr:colOff>818243</xdr:colOff>
      <xdr:row>5</xdr:row>
      <xdr:rowOff>432707</xdr:rowOff>
    </xdr:to>
    <xdr:sp macro="" textlink="">
      <xdr:nvSpPr>
        <xdr:cNvPr id="21" name="Rectangle: Rounded Corners 20">
          <a:hlinkClick xmlns:r="http://schemas.openxmlformats.org/officeDocument/2006/relationships" r:id="rId11"/>
          <a:extLst>
            <a:ext uri="{FF2B5EF4-FFF2-40B4-BE49-F238E27FC236}">
              <a16:creationId xmlns:a16="http://schemas.microsoft.com/office/drawing/2014/main" id="{9B11CCA2-3D92-4F0A-AA15-EFC5781B411D}"/>
            </a:ext>
          </a:extLst>
        </xdr:cNvPr>
        <xdr:cNvSpPr/>
      </xdr:nvSpPr>
      <xdr:spPr>
        <a:xfrm>
          <a:off x="25209500" y="1730375"/>
          <a:ext cx="1913618" cy="369207"/>
        </a:xfrm>
        <a:prstGeom prst="roundRect">
          <a:avLst/>
        </a:prstGeom>
        <a:solidFill>
          <a:schemeClr val="tx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Guidance</a:t>
          </a:r>
          <a:endParaRPr lang="en-NL" sz="1100"/>
        </a:p>
      </xdr:txBody>
    </xdr:sp>
    <xdr:clientData fPrintsWithSheet="0"/>
  </xdr:twoCellAnchor>
  <xdr:twoCellAnchor editAs="oneCell">
    <xdr:from>
      <xdr:col>23</xdr:col>
      <xdr:colOff>619125</xdr:colOff>
      <xdr:row>5</xdr:row>
      <xdr:rowOff>598170</xdr:rowOff>
    </xdr:from>
    <xdr:to>
      <xdr:col>25</xdr:col>
      <xdr:colOff>818243</xdr:colOff>
      <xdr:row>5</xdr:row>
      <xdr:rowOff>967377</xdr:rowOff>
    </xdr:to>
    <xdr:sp macro="" textlink="">
      <xdr:nvSpPr>
        <xdr:cNvPr id="22" name="Rectangle: Rounded Corners 21">
          <a:hlinkClick xmlns:r="http://schemas.openxmlformats.org/officeDocument/2006/relationships" r:id="rId12"/>
          <a:extLst>
            <a:ext uri="{FF2B5EF4-FFF2-40B4-BE49-F238E27FC236}">
              <a16:creationId xmlns:a16="http://schemas.microsoft.com/office/drawing/2014/main" id="{5D0F0453-67E9-4D16-8327-34D85ECE33A8}"/>
            </a:ext>
          </a:extLst>
        </xdr:cNvPr>
        <xdr:cNvSpPr/>
      </xdr:nvSpPr>
      <xdr:spPr>
        <a:xfrm>
          <a:off x="25209500" y="2265045"/>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Water</a:t>
          </a:r>
          <a:endParaRPr lang="en-NL" sz="1100"/>
        </a:p>
      </xdr:txBody>
    </xdr:sp>
    <xdr:clientData fPrintsWithSheet="0"/>
  </xdr:twoCellAnchor>
  <xdr:twoCellAnchor editAs="oneCell">
    <xdr:from>
      <xdr:col>23</xdr:col>
      <xdr:colOff>619125</xdr:colOff>
      <xdr:row>6</xdr:row>
      <xdr:rowOff>69215</xdr:rowOff>
    </xdr:from>
    <xdr:to>
      <xdr:col>25</xdr:col>
      <xdr:colOff>818243</xdr:colOff>
      <xdr:row>6</xdr:row>
      <xdr:rowOff>438422</xdr:rowOff>
    </xdr:to>
    <xdr:sp macro="" textlink="">
      <xdr:nvSpPr>
        <xdr:cNvPr id="23" name="Rectangle: Rounded Corners 22">
          <a:hlinkClick xmlns:r="http://schemas.openxmlformats.org/officeDocument/2006/relationships" r:id="rId13"/>
          <a:extLst>
            <a:ext uri="{FF2B5EF4-FFF2-40B4-BE49-F238E27FC236}">
              <a16:creationId xmlns:a16="http://schemas.microsoft.com/office/drawing/2014/main" id="{9C4EF989-D368-48FE-AF2E-F4F2AA15E730}"/>
            </a:ext>
          </a:extLst>
        </xdr:cNvPr>
        <xdr:cNvSpPr/>
      </xdr:nvSpPr>
      <xdr:spPr>
        <a:xfrm>
          <a:off x="25209500" y="2799715"/>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S&amp;H</a:t>
          </a:r>
          <a:endParaRPr lang="en-NL" sz="1100"/>
        </a:p>
      </xdr:txBody>
    </xdr:sp>
    <xdr:clientData fPrintsWithSheet="0"/>
  </xdr:twoCellAnchor>
  <xdr:twoCellAnchor editAs="oneCell">
    <xdr:from>
      <xdr:col>23</xdr:col>
      <xdr:colOff>619125</xdr:colOff>
      <xdr:row>6</xdr:row>
      <xdr:rowOff>603885</xdr:rowOff>
    </xdr:from>
    <xdr:to>
      <xdr:col>25</xdr:col>
      <xdr:colOff>818243</xdr:colOff>
      <xdr:row>6</xdr:row>
      <xdr:rowOff>973092</xdr:rowOff>
    </xdr:to>
    <xdr:sp macro="" textlink="">
      <xdr:nvSpPr>
        <xdr:cNvPr id="24" name="Rectangle: Rounded Corners 23">
          <a:hlinkClick xmlns:r="http://schemas.openxmlformats.org/officeDocument/2006/relationships" r:id="rId14"/>
          <a:extLst>
            <a:ext uri="{FF2B5EF4-FFF2-40B4-BE49-F238E27FC236}">
              <a16:creationId xmlns:a16="http://schemas.microsoft.com/office/drawing/2014/main" id="{06F777F6-BF45-4C50-8A3D-F81B470409D0}"/>
            </a:ext>
          </a:extLst>
        </xdr:cNvPr>
        <xdr:cNvSpPr/>
      </xdr:nvSpPr>
      <xdr:spPr>
        <a:xfrm>
          <a:off x="25209500" y="3334385"/>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HCF</a:t>
          </a:r>
          <a:endParaRPr lang="en-NL" sz="1100"/>
        </a:p>
      </xdr:txBody>
    </xdr:sp>
    <xdr:clientData fPrintsWithSheet="0"/>
  </xdr:twoCellAnchor>
  <xdr:twoCellAnchor editAs="oneCell">
    <xdr:from>
      <xdr:col>23</xdr:col>
      <xdr:colOff>619125</xdr:colOff>
      <xdr:row>7</xdr:row>
      <xdr:rowOff>74930</xdr:rowOff>
    </xdr:from>
    <xdr:to>
      <xdr:col>25</xdr:col>
      <xdr:colOff>818243</xdr:colOff>
      <xdr:row>7</xdr:row>
      <xdr:rowOff>444137</xdr:rowOff>
    </xdr:to>
    <xdr:sp macro="" textlink="">
      <xdr:nvSpPr>
        <xdr:cNvPr id="25" name="Rectangle: Rounded Corners 24">
          <a:hlinkClick xmlns:r="http://schemas.openxmlformats.org/officeDocument/2006/relationships" r:id="rId15"/>
          <a:extLst>
            <a:ext uri="{FF2B5EF4-FFF2-40B4-BE49-F238E27FC236}">
              <a16:creationId xmlns:a16="http://schemas.microsoft.com/office/drawing/2014/main" id="{3084CDA3-E608-47ED-B1E9-431AFC4ED0F5}"/>
            </a:ext>
          </a:extLst>
        </xdr:cNvPr>
        <xdr:cNvSpPr/>
      </xdr:nvSpPr>
      <xdr:spPr>
        <a:xfrm>
          <a:off x="25209500" y="3869055"/>
          <a:ext cx="1913618" cy="369207"/>
        </a:xfrm>
        <a:prstGeom prst="roundRect">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District</a:t>
          </a:r>
          <a:r>
            <a:rPr lang="en-GB" sz="1100" baseline="0"/>
            <a:t> 1</a:t>
          </a:r>
          <a:endParaRPr lang="en-NL" sz="1100"/>
        </a:p>
      </xdr:txBody>
    </xdr:sp>
    <xdr:clientData fPrintsWithSheet="0"/>
  </xdr:twoCellAnchor>
  <xdr:twoCellAnchor editAs="oneCell">
    <xdr:from>
      <xdr:col>23</xdr:col>
      <xdr:colOff>619125</xdr:colOff>
      <xdr:row>7</xdr:row>
      <xdr:rowOff>609600</xdr:rowOff>
    </xdr:from>
    <xdr:to>
      <xdr:col>25</xdr:col>
      <xdr:colOff>818243</xdr:colOff>
      <xdr:row>7</xdr:row>
      <xdr:rowOff>978807</xdr:rowOff>
    </xdr:to>
    <xdr:sp macro="" textlink="">
      <xdr:nvSpPr>
        <xdr:cNvPr id="26" name="Rectangle: Rounded Corners 25">
          <a:hlinkClick xmlns:r="http://schemas.openxmlformats.org/officeDocument/2006/relationships" r:id="rId16"/>
          <a:extLst>
            <a:ext uri="{FF2B5EF4-FFF2-40B4-BE49-F238E27FC236}">
              <a16:creationId xmlns:a16="http://schemas.microsoft.com/office/drawing/2014/main" id="{1EEBAD10-E731-4156-9552-BD5BA8A22E10}"/>
            </a:ext>
          </a:extLst>
        </xdr:cNvPr>
        <xdr:cNvSpPr/>
      </xdr:nvSpPr>
      <xdr:spPr>
        <a:xfrm>
          <a:off x="25209500" y="4403725"/>
          <a:ext cx="1913618" cy="369207"/>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tx1"/>
              </a:solidFill>
            </a:rPr>
            <a:t>Dashboard</a:t>
          </a:r>
          <a:endParaRPr lang="en-NL" sz="1100">
            <a:solidFill>
              <a:schemeClr val="tx1"/>
            </a:solidFill>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13</xdr:col>
      <xdr:colOff>211667</xdr:colOff>
      <xdr:row>63</xdr:row>
      <xdr:rowOff>63501</xdr:rowOff>
    </xdr:from>
    <xdr:to>
      <xdr:col>13</xdr:col>
      <xdr:colOff>1123952</xdr:colOff>
      <xdr:row>63</xdr:row>
      <xdr:rowOff>963501</xdr:rowOff>
    </xdr:to>
    <xdr:pic>
      <xdr:nvPicPr>
        <xdr:cNvPr id="2" name="Picture 1">
          <a:extLst>
            <a:ext uri="{FF2B5EF4-FFF2-40B4-BE49-F238E27FC236}">
              <a16:creationId xmlns:a16="http://schemas.microsoft.com/office/drawing/2014/main" id="{4969F6EC-EE4C-45ED-AC13-520C718CFB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4917" y="64287401"/>
          <a:ext cx="912285" cy="900000"/>
        </a:xfrm>
        <a:prstGeom prst="rect">
          <a:avLst/>
        </a:prstGeom>
      </xdr:spPr>
    </xdr:pic>
    <xdr:clientData/>
  </xdr:twoCellAnchor>
  <xdr:twoCellAnchor>
    <xdr:from>
      <xdr:col>13</xdr:col>
      <xdr:colOff>232833</xdr:colOff>
      <xdr:row>32</xdr:row>
      <xdr:rowOff>84667</xdr:rowOff>
    </xdr:from>
    <xdr:to>
      <xdr:col>13</xdr:col>
      <xdr:colOff>1143972</xdr:colOff>
      <xdr:row>32</xdr:row>
      <xdr:rowOff>975142</xdr:rowOff>
    </xdr:to>
    <xdr:pic>
      <xdr:nvPicPr>
        <xdr:cNvPr id="3" name="Picture 2">
          <a:extLst>
            <a:ext uri="{FF2B5EF4-FFF2-40B4-BE49-F238E27FC236}">
              <a16:creationId xmlns:a16="http://schemas.microsoft.com/office/drawing/2014/main" id="{93D8902E-5BBB-40BE-99E8-90C19D7A40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26083" y="28253267"/>
          <a:ext cx="911139" cy="890475"/>
        </a:xfrm>
        <a:prstGeom prst="rect">
          <a:avLst/>
        </a:prstGeom>
      </xdr:spPr>
    </xdr:pic>
    <xdr:clientData/>
  </xdr:twoCellAnchor>
  <xdr:twoCellAnchor>
    <xdr:from>
      <xdr:col>13</xdr:col>
      <xdr:colOff>169333</xdr:colOff>
      <xdr:row>18</xdr:row>
      <xdr:rowOff>74084</xdr:rowOff>
    </xdr:from>
    <xdr:to>
      <xdr:col>13</xdr:col>
      <xdr:colOff>1073503</xdr:colOff>
      <xdr:row>18</xdr:row>
      <xdr:rowOff>980434</xdr:rowOff>
    </xdr:to>
    <xdr:pic>
      <xdr:nvPicPr>
        <xdr:cNvPr id="4" name="Picture 3">
          <a:extLst>
            <a:ext uri="{FF2B5EF4-FFF2-40B4-BE49-F238E27FC236}">
              <a16:creationId xmlns:a16="http://schemas.microsoft.com/office/drawing/2014/main" id="{B99E8E46-41AD-41BF-A324-D7FAE746A5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62583" y="13396384"/>
          <a:ext cx="904170" cy="906350"/>
        </a:xfrm>
        <a:prstGeom prst="rect">
          <a:avLst/>
        </a:prstGeom>
      </xdr:spPr>
    </xdr:pic>
    <xdr:clientData/>
  </xdr:twoCellAnchor>
  <xdr:twoCellAnchor>
    <xdr:from>
      <xdr:col>13</xdr:col>
      <xdr:colOff>211666</xdr:colOff>
      <xdr:row>5</xdr:row>
      <xdr:rowOff>63501</xdr:rowOff>
    </xdr:from>
    <xdr:to>
      <xdr:col>13</xdr:col>
      <xdr:colOff>1122032</xdr:colOff>
      <xdr:row>5</xdr:row>
      <xdr:rowOff>960326</xdr:rowOff>
    </xdr:to>
    <xdr:pic>
      <xdr:nvPicPr>
        <xdr:cNvPr id="5" name="Picture 4">
          <a:extLst>
            <a:ext uri="{FF2B5EF4-FFF2-40B4-BE49-F238E27FC236}">
              <a16:creationId xmlns:a16="http://schemas.microsoft.com/office/drawing/2014/main" id="{56E048BC-CCC7-40CF-8CD3-01E1C047E5B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04916" y="1720851"/>
          <a:ext cx="910366" cy="896825"/>
        </a:xfrm>
        <a:prstGeom prst="rect">
          <a:avLst/>
        </a:prstGeom>
      </xdr:spPr>
    </xdr:pic>
    <xdr:clientData/>
  </xdr:twoCellAnchor>
  <xdr:twoCellAnchor>
    <xdr:from>
      <xdr:col>13</xdr:col>
      <xdr:colOff>150284</xdr:colOff>
      <xdr:row>23</xdr:row>
      <xdr:rowOff>42334</xdr:rowOff>
    </xdr:from>
    <xdr:to>
      <xdr:col>13</xdr:col>
      <xdr:colOff>1054671</xdr:colOff>
      <xdr:row>23</xdr:row>
      <xdr:rowOff>942334</xdr:rowOff>
    </xdr:to>
    <xdr:pic>
      <xdr:nvPicPr>
        <xdr:cNvPr id="6" name="Picture 5">
          <a:extLst>
            <a:ext uri="{FF2B5EF4-FFF2-40B4-BE49-F238E27FC236}">
              <a16:creationId xmlns:a16="http://schemas.microsoft.com/office/drawing/2014/main" id="{2A0F087F-0020-4EF8-B3E6-866844961C8F}"/>
            </a:ext>
            <a:ext uri="{147F2762-F138-4A5C-976F-8EAC2B608ADB}">
              <a16:predDERef xmlns:a16="http://schemas.microsoft.com/office/drawing/2014/main" pred="{EE16E352-BF7A-492C-B78B-2EA1B6726EF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643534" y="18666884"/>
          <a:ext cx="904387" cy="900000"/>
        </a:xfrm>
        <a:prstGeom prst="rect">
          <a:avLst/>
        </a:prstGeom>
      </xdr:spPr>
    </xdr:pic>
    <xdr:clientData/>
  </xdr:twoCellAnchor>
  <xdr:twoCellAnchor>
    <xdr:from>
      <xdr:col>13</xdr:col>
      <xdr:colOff>232833</xdr:colOff>
      <xdr:row>58</xdr:row>
      <xdr:rowOff>52917</xdr:rowOff>
    </xdr:from>
    <xdr:to>
      <xdr:col>13</xdr:col>
      <xdr:colOff>1144315</xdr:colOff>
      <xdr:row>58</xdr:row>
      <xdr:rowOff>956092</xdr:rowOff>
    </xdr:to>
    <xdr:pic>
      <xdr:nvPicPr>
        <xdr:cNvPr id="7" name="Picture 6">
          <a:extLst>
            <a:ext uri="{FF2B5EF4-FFF2-40B4-BE49-F238E27FC236}">
              <a16:creationId xmlns:a16="http://schemas.microsoft.com/office/drawing/2014/main" id="{B5577D1E-100C-4EA3-B063-C3ED091C365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726083" y="57914117"/>
          <a:ext cx="911482" cy="903175"/>
        </a:xfrm>
        <a:prstGeom prst="rect">
          <a:avLst/>
        </a:prstGeom>
      </xdr:spPr>
    </xdr:pic>
    <xdr:clientData/>
  </xdr:twoCellAnchor>
  <xdr:twoCellAnchor>
    <xdr:from>
      <xdr:col>13</xdr:col>
      <xdr:colOff>36890</xdr:colOff>
      <xdr:row>54</xdr:row>
      <xdr:rowOff>63500</xdr:rowOff>
    </xdr:from>
    <xdr:to>
      <xdr:col>13</xdr:col>
      <xdr:colOff>941371</xdr:colOff>
      <xdr:row>54</xdr:row>
      <xdr:rowOff>960325</xdr:rowOff>
    </xdr:to>
    <xdr:pic>
      <xdr:nvPicPr>
        <xdr:cNvPr id="8" name="Picture 7">
          <a:extLst>
            <a:ext uri="{FF2B5EF4-FFF2-40B4-BE49-F238E27FC236}">
              <a16:creationId xmlns:a16="http://schemas.microsoft.com/office/drawing/2014/main" id="{2606619E-98F7-4543-873F-31ECF80B8F7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530140" y="50501550"/>
          <a:ext cx="904481" cy="896825"/>
        </a:xfrm>
        <a:prstGeom prst="rect">
          <a:avLst/>
        </a:prstGeom>
      </xdr:spPr>
    </xdr:pic>
    <xdr:clientData/>
  </xdr:twoCellAnchor>
  <xdr:twoCellAnchor>
    <xdr:from>
      <xdr:col>13</xdr:col>
      <xdr:colOff>275167</xdr:colOff>
      <xdr:row>47</xdr:row>
      <xdr:rowOff>95250</xdr:rowOff>
    </xdr:from>
    <xdr:to>
      <xdr:col>13</xdr:col>
      <xdr:colOff>1193400</xdr:colOff>
      <xdr:row>47</xdr:row>
      <xdr:rowOff>1001600</xdr:rowOff>
    </xdr:to>
    <xdr:pic>
      <xdr:nvPicPr>
        <xdr:cNvPr id="9" name="Picture 8">
          <a:extLst>
            <a:ext uri="{FF2B5EF4-FFF2-40B4-BE49-F238E27FC236}">
              <a16:creationId xmlns:a16="http://schemas.microsoft.com/office/drawing/2014/main" id="{FF73E5FB-86D7-45A5-90BF-2FB2601C774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768417" y="44170600"/>
          <a:ext cx="918233" cy="906350"/>
        </a:xfrm>
        <a:prstGeom prst="rect">
          <a:avLst/>
        </a:prstGeom>
      </xdr:spPr>
    </xdr:pic>
    <xdr:clientData/>
  </xdr:twoCellAnchor>
  <xdr:twoCellAnchor>
    <xdr:from>
      <xdr:col>13</xdr:col>
      <xdr:colOff>132292</xdr:colOff>
      <xdr:row>39</xdr:row>
      <xdr:rowOff>23283</xdr:rowOff>
    </xdr:from>
    <xdr:to>
      <xdr:col>13</xdr:col>
      <xdr:colOff>1050153</xdr:colOff>
      <xdr:row>39</xdr:row>
      <xdr:rowOff>929633</xdr:rowOff>
    </xdr:to>
    <xdr:pic>
      <xdr:nvPicPr>
        <xdr:cNvPr id="10" name="Picture 9">
          <a:extLst>
            <a:ext uri="{FF2B5EF4-FFF2-40B4-BE49-F238E27FC236}">
              <a16:creationId xmlns:a16="http://schemas.microsoft.com/office/drawing/2014/main" id="{E89FC6BE-9595-4693-B1F2-5837C80A1643}"/>
            </a:ext>
            <a:ext uri="{147F2762-F138-4A5C-976F-8EAC2B608ADB}">
              <a16:predDERef xmlns:a16="http://schemas.microsoft.com/office/drawing/2014/main" pred="{F0E2A137-BD61-47B2-AA4C-29C10EAAB5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625542" y="35615033"/>
          <a:ext cx="917861" cy="906350"/>
        </a:xfrm>
        <a:prstGeom prst="rect">
          <a:avLst/>
        </a:prstGeom>
      </xdr:spPr>
    </xdr:pic>
    <xdr:clientData/>
  </xdr:twoCellAnchor>
  <xdr:twoCellAnchor>
    <xdr:from>
      <xdr:col>13</xdr:col>
      <xdr:colOff>169333</xdr:colOff>
      <xdr:row>13</xdr:row>
      <xdr:rowOff>74084</xdr:rowOff>
    </xdr:from>
    <xdr:to>
      <xdr:col>13</xdr:col>
      <xdr:colOff>1073503</xdr:colOff>
      <xdr:row>13</xdr:row>
      <xdr:rowOff>980434</xdr:rowOff>
    </xdr:to>
    <xdr:pic>
      <xdr:nvPicPr>
        <xdr:cNvPr id="12" name="Picture 11">
          <a:extLst>
            <a:ext uri="{FF2B5EF4-FFF2-40B4-BE49-F238E27FC236}">
              <a16:creationId xmlns:a16="http://schemas.microsoft.com/office/drawing/2014/main" id="{0787E16C-0D57-41B2-BC1E-E2A37DED0AF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62583" y="8094134"/>
          <a:ext cx="904170" cy="906350"/>
        </a:xfrm>
        <a:prstGeom prst="rect">
          <a:avLst/>
        </a:prstGeom>
      </xdr:spPr>
    </xdr:pic>
    <xdr:clientData/>
  </xdr:twoCellAnchor>
  <xdr:twoCellAnchor editAs="oneCell">
    <xdr:from>
      <xdr:col>24</xdr:col>
      <xdr:colOff>558799</xdr:colOff>
      <xdr:row>0</xdr:row>
      <xdr:rowOff>127000</xdr:rowOff>
    </xdr:from>
    <xdr:to>
      <xdr:col>26</xdr:col>
      <xdr:colOff>1524000</xdr:colOff>
      <xdr:row>3</xdr:row>
      <xdr:rowOff>6350</xdr:rowOff>
    </xdr:to>
    <mc:AlternateContent xmlns:mc="http://schemas.openxmlformats.org/markup-compatibility/2006" xmlns:sle15="http://schemas.microsoft.com/office/drawing/2012/slicer">
      <mc:Choice Requires="sle15">
        <xdr:graphicFrame macro="">
          <xdr:nvGraphicFramePr>
            <xdr:cNvPr id="13" name="Show 3">
              <a:extLst>
                <a:ext uri="{FF2B5EF4-FFF2-40B4-BE49-F238E27FC236}">
                  <a16:creationId xmlns:a16="http://schemas.microsoft.com/office/drawing/2014/main" id="{B58A4266-A42F-4D3A-96E3-E250A9F1E0CC}"/>
                </a:ext>
              </a:extLst>
            </xdr:cNvPr>
            <xdr:cNvGraphicFramePr/>
          </xdr:nvGraphicFramePr>
          <xdr:xfrm>
            <a:off x="0" y="0"/>
            <a:ext cx="0" cy="0"/>
          </xdr:xfrm>
          <a:graphic>
            <a:graphicData uri="http://schemas.microsoft.com/office/drawing/2010/slicer">
              <sle:slicer xmlns:sle="http://schemas.microsoft.com/office/drawing/2010/slicer" name="Show 3"/>
            </a:graphicData>
          </a:graphic>
        </xdr:graphicFrame>
      </mc:Choice>
      <mc:Fallback xmlns="">
        <xdr:sp macro="" textlink="">
          <xdr:nvSpPr>
            <xdr:cNvPr id="0" name=""/>
            <xdr:cNvSpPr>
              <a:spLocks noTextEdit="1"/>
            </xdr:cNvSpPr>
          </xdr:nvSpPr>
          <xdr:spPr>
            <a:xfrm>
              <a:off x="25149174" y="127000"/>
              <a:ext cx="2679701" cy="679450"/>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PrintsWithSheet="0"/>
  </xdr:twoCellAnchor>
  <xdr:twoCellAnchor editAs="oneCell">
    <xdr:from>
      <xdr:col>24</xdr:col>
      <xdr:colOff>539750</xdr:colOff>
      <xdr:row>3</xdr:row>
      <xdr:rowOff>238125</xdr:rowOff>
    </xdr:from>
    <xdr:to>
      <xdr:col>26</xdr:col>
      <xdr:colOff>732518</xdr:colOff>
      <xdr:row>4</xdr:row>
      <xdr:rowOff>273957</xdr:rowOff>
    </xdr:to>
    <xdr:sp macro="" textlink="">
      <xdr:nvSpPr>
        <xdr:cNvPr id="15" name="Rectangle: Rounded Corners 14">
          <a:hlinkClick xmlns:r="http://schemas.openxmlformats.org/officeDocument/2006/relationships" r:id="rId10"/>
          <a:extLst>
            <a:ext uri="{FF2B5EF4-FFF2-40B4-BE49-F238E27FC236}">
              <a16:creationId xmlns:a16="http://schemas.microsoft.com/office/drawing/2014/main" id="{1D3D92A8-932A-42EE-9A71-F9D0692633AE}"/>
            </a:ext>
          </a:extLst>
        </xdr:cNvPr>
        <xdr:cNvSpPr/>
      </xdr:nvSpPr>
      <xdr:spPr>
        <a:xfrm>
          <a:off x="25130125" y="1031875"/>
          <a:ext cx="1913618" cy="36920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Download Print friendly </a:t>
          </a:r>
          <a:endParaRPr lang="en-NL" sz="1100"/>
        </a:p>
      </xdr:txBody>
    </xdr:sp>
    <xdr:clientData fPrintsWithSheet="0"/>
  </xdr:twoCellAnchor>
  <xdr:twoCellAnchor editAs="oneCell">
    <xdr:from>
      <xdr:col>24</xdr:col>
      <xdr:colOff>523875</xdr:colOff>
      <xdr:row>5</xdr:row>
      <xdr:rowOff>79375</xdr:rowOff>
    </xdr:from>
    <xdr:to>
      <xdr:col>26</xdr:col>
      <xdr:colOff>722993</xdr:colOff>
      <xdr:row>5</xdr:row>
      <xdr:rowOff>448582</xdr:rowOff>
    </xdr:to>
    <xdr:sp macro="" textlink="">
      <xdr:nvSpPr>
        <xdr:cNvPr id="11" name="Rectangle: Rounded Corners 10">
          <a:hlinkClick xmlns:r="http://schemas.openxmlformats.org/officeDocument/2006/relationships" r:id="rId11"/>
          <a:extLst>
            <a:ext uri="{FF2B5EF4-FFF2-40B4-BE49-F238E27FC236}">
              <a16:creationId xmlns:a16="http://schemas.microsoft.com/office/drawing/2014/main" id="{5E844B18-CC51-4A37-8539-5A5E32B9FB65}"/>
            </a:ext>
          </a:extLst>
        </xdr:cNvPr>
        <xdr:cNvSpPr/>
      </xdr:nvSpPr>
      <xdr:spPr>
        <a:xfrm>
          <a:off x="25114250" y="1746250"/>
          <a:ext cx="1913618" cy="369207"/>
        </a:xfrm>
        <a:prstGeom prst="roundRect">
          <a:avLst/>
        </a:prstGeom>
        <a:solidFill>
          <a:schemeClr val="tx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Guidance</a:t>
          </a:r>
          <a:endParaRPr lang="en-NL" sz="1100"/>
        </a:p>
      </xdr:txBody>
    </xdr:sp>
    <xdr:clientData fPrintsWithSheet="0"/>
  </xdr:twoCellAnchor>
  <xdr:twoCellAnchor editAs="oneCell">
    <xdr:from>
      <xdr:col>24</xdr:col>
      <xdr:colOff>523875</xdr:colOff>
      <xdr:row>5</xdr:row>
      <xdr:rowOff>614045</xdr:rowOff>
    </xdr:from>
    <xdr:to>
      <xdr:col>26</xdr:col>
      <xdr:colOff>722993</xdr:colOff>
      <xdr:row>5</xdr:row>
      <xdr:rowOff>983252</xdr:rowOff>
    </xdr:to>
    <xdr:sp macro="" textlink="">
      <xdr:nvSpPr>
        <xdr:cNvPr id="14" name="Rectangle: Rounded Corners 13">
          <a:hlinkClick xmlns:r="http://schemas.openxmlformats.org/officeDocument/2006/relationships" r:id="rId12"/>
          <a:extLst>
            <a:ext uri="{FF2B5EF4-FFF2-40B4-BE49-F238E27FC236}">
              <a16:creationId xmlns:a16="http://schemas.microsoft.com/office/drawing/2014/main" id="{C3125E22-E4BE-4CA8-8CAF-9151FD4F87A2}"/>
            </a:ext>
          </a:extLst>
        </xdr:cNvPr>
        <xdr:cNvSpPr/>
      </xdr:nvSpPr>
      <xdr:spPr>
        <a:xfrm>
          <a:off x="25114250" y="228092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Water</a:t>
          </a:r>
          <a:endParaRPr lang="en-NL" sz="1100"/>
        </a:p>
      </xdr:txBody>
    </xdr:sp>
    <xdr:clientData fPrintsWithSheet="0"/>
  </xdr:twoCellAnchor>
  <xdr:twoCellAnchor editAs="oneCell">
    <xdr:from>
      <xdr:col>24</xdr:col>
      <xdr:colOff>523875</xdr:colOff>
      <xdr:row>6</xdr:row>
      <xdr:rowOff>85090</xdr:rowOff>
    </xdr:from>
    <xdr:to>
      <xdr:col>26</xdr:col>
      <xdr:colOff>722993</xdr:colOff>
      <xdr:row>6</xdr:row>
      <xdr:rowOff>454297</xdr:rowOff>
    </xdr:to>
    <xdr:sp macro="" textlink="">
      <xdr:nvSpPr>
        <xdr:cNvPr id="16" name="Rectangle: Rounded Corners 15">
          <a:hlinkClick xmlns:r="http://schemas.openxmlformats.org/officeDocument/2006/relationships" r:id="rId13"/>
          <a:extLst>
            <a:ext uri="{FF2B5EF4-FFF2-40B4-BE49-F238E27FC236}">
              <a16:creationId xmlns:a16="http://schemas.microsoft.com/office/drawing/2014/main" id="{C87794C3-C664-46FE-83FF-52694A9E1BCD}"/>
            </a:ext>
          </a:extLst>
        </xdr:cNvPr>
        <xdr:cNvSpPr/>
      </xdr:nvSpPr>
      <xdr:spPr>
        <a:xfrm>
          <a:off x="25114250" y="281559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S&amp;H</a:t>
          </a:r>
          <a:endParaRPr lang="en-NL" sz="1100"/>
        </a:p>
      </xdr:txBody>
    </xdr:sp>
    <xdr:clientData fPrintsWithSheet="0"/>
  </xdr:twoCellAnchor>
  <xdr:twoCellAnchor editAs="oneCell">
    <xdr:from>
      <xdr:col>24</xdr:col>
      <xdr:colOff>523875</xdr:colOff>
      <xdr:row>6</xdr:row>
      <xdr:rowOff>619760</xdr:rowOff>
    </xdr:from>
    <xdr:to>
      <xdr:col>26</xdr:col>
      <xdr:colOff>722993</xdr:colOff>
      <xdr:row>6</xdr:row>
      <xdr:rowOff>988967</xdr:rowOff>
    </xdr:to>
    <xdr:sp macro="" textlink="">
      <xdr:nvSpPr>
        <xdr:cNvPr id="17" name="Rectangle: Rounded Corners 16">
          <a:hlinkClick xmlns:r="http://schemas.openxmlformats.org/officeDocument/2006/relationships" r:id="rId14"/>
          <a:extLst>
            <a:ext uri="{FF2B5EF4-FFF2-40B4-BE49-F238E27FC236}">
              <a16:creationId xmlns:a16="http://schemas.microsoft.com/office/drawing/2014/main" id="{D930A677-EE99-4191-87EF-69A230B4C79C}"/>
            </a:ext>
          </a:extLst>
        </xdr:cNvPr>
        <xdr:cNvSpPr/>
      </xdr:nvSpPr>
      <xdr:spPr>
        <a:xfrm>
          <a:off x="25114250" y="3350260"/>
          <a:ext cx="1913618" cy="36920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HCF</a:t>
          </a:r>
          <a:endParaRPr lang="en-NL" sz="1100"/>
        </a:p>
      </xdr:txBody>
    </xdr:sp>
    <xdr:clientData fPrintsWithSheet="0"/>
  </xdr:twoCellAnchor>
  <xdr:twoCellAnchor editAs="oneCell">
    <xdr:from>
      <xdr:col>24</xdr:col>
      <xdr:colOff>523875</xdr:colOff>
      <xdr:row>7</xdr:row>
      <xdr:rowOff>90805</xdr:rowOff>
    </xdr:from>
    <xdr:to>
      <xdr:col>26</xdr:col>
      <xdr:colOff>722993</xdr:colOff>
      <xdr:row>7</xdr:row>
      <xdr:rowOff>460012</xdr:rowOff>
    </xdr:to>
    <xdr:sp macro="" textlink="">
      <xdr:nvSpPr>
        <xdr:cNvPr id="18" name="Rectangle: Rounded Corners 17">
          <a:hlinkClick xmlns:r="http://schemas.openxmlformats.org/officeDocument/2006/relationships" r:id="rId15"/>
          <a:extLst>
            <a:ext uri="{FF2B5EF4-FFF2-40B4-BE49-F238E27FC236}">
              <a16:creationId xmlns:a16="http://schemas.microsoft.com/office/drawing/2014/main" id="{8EB926CB-8B9B-4D59-9E35-1AB8F9777D04}"/>
            </a:ext>
          </a:extLst>
        </xdr:cNvPr>
        <xdr:cNvSpPr/>
      </xdr:nvSpPr>
      <xdr:spPr>
        <a:xfrm>
          <a:off x="25114250" y="3884930"/>
          <a:ext cx="1913618" cy="369207"/>
        </a:xfrm>
        <a:prstGeom prst="roundRect">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District</a:t>
          </a:r>
          <a:r>
            <a:rPr lang="en-GB" sz="1100" baseline="0"/>
            <a:t> 1</a:t>
          </a:r>
          <a:endParaRPr lang="en-NL" sz="1100"/>
        </a:p>
      </xdr:txBody>
    </xdr:sp>
    <xdr:clientData fPrintsWithSheet="0"/>
  </xdr:twoCellAnchor>
  <xdr:twoCellAnchor editAs="oneCell">
    <xdr:from>
      <xdr:col>24</xdr:col>
      <xdr:colOff>523875</xdr:colOff>
      <xdr:row>7</xdr:row>
      <xdr:rowOff>625475</xdr:rowOff>
    </xdr:from>
    <xdr:to>
      <xdr:col>26</xdr:col>
      <xdr:colOff>722993</xdr:colOff>
      <xdr:row>7</xdr:row>
      <xdr:rowOff>1001032</xdr:rowOff>
    </xdr:to>
    <xdr:sp macro="" textlink="">
      <xdr:nvSpPr>
        <xdr:cNvPr id="19" name="Rectangle: Rounded Corners 18">
          <a:hlinkClick xmlns:r="http://schemas.openxmlformats.org/officeDocument/2006/relationships" r:id="rId16"/>
          <a:extLst>
            <a:ext uri="{FF2B5EF4-FFF2-40B4-BE49-F238E27FC236}">
              <a16:creationId xmlns:a16="http://schemas.microsoft.com/office/drawing/2014/main" id="{6AC4DF15-B073-41EC-859A-0BA2DA431B8D}"/>
            </a:ext>
          </a:extLst>
        </xdr:cNvPr>
        <xdr:cNvSpPr/>
      </xdr:nvSpPr>
      <xdr:spPr>
        <a:xfrm>
          <a:off x="25114250" y="4419600"/>
          <a:ext cx="1913618" cy="369207"/>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tx1"/>
              </a:solidFill>
            </a:rPr>
            <a:t>Dashboard</a:t>
          </a:r>
          <a:endParaRPr lang="en-NL" sz="1100">
            <a:solidFill>
              <a:schemeClr val="tx1"/>
            </a:solidFill>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9</xdr:col>
      <xdr:colOff>782410</xdr:colOff>
      <xdr:row>1</xdr:row>
      <xdr:rowOff>141742</xdr:rowOff>
    </xdr:from>
    <xdr:to>
      <xdr:col>9</xdr:col>
      <xdr:colOff>1427842</xdr:colOff>
      <xdr:row>2</xdr:row>
      <xdr:rowOff>151267</xdr:rowOff>
    </xdr:to>
    <xdr:sp macro="" textlink="">
      <xdr:nvSpPr>
        <xdr:cNvPr id="8" name="Rectangle: Rounded Corners 2">
          <a:hlinkClick xmlns:r="http://schemas.openxmlformats.org/officeDocument/2006/relationships" r:id="rId1"/>
          <a:extLst>
            <a:ext uri="{FF2B5EF4-FFF2-40B4-BE49-F238E27FC236}">
              <a16:creationId xmlns:a16="http://schemas.microsoft.com/office/drawing/2014/main" id="{B3EF5A10-C242-4DD1-93ED-1A175ABF5614}"/>
            </a:ext>
          </a:extLst>
        </xdr:cNvPr>
        <xdr:cNvSpPr/>
      </xdr:nvSpPr>
      <xdr:spPr>
        <a:xfrm>
          <a:off x="8124598" y="340180"/>
          <a:ext cx="652539" cy="2476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Video</a:t>
          </a:r>
          <a:endParaRPr lang="aa-ET" sz="1100"/>
        </a:p>
      </xdr:txBody>
    </xdr:sp>
    <xdr:clientData fPrintsWithSheet="0"/>
  </xdr:twoCellAnchor>
  <xdr:twoCellAnchor>
    <xdr:from>
      <xdr:col>0</xdr:col>
      <xdr:colOff>0</xdr:colOff>
      <xdr:row>28</xdr:row>
      <xdr:rowOff>192880</xdr:rowOff>
    </xdr:from>
    <xdr:to>
      <xdr:col>2</xdr:col>
      <xdr:colOff>1371600</xdr:colOff>
      <xdr:row>45</xdr:row>
      <xdr:rowOff>97631</xdr:rowOff>
    </xdr:to>
    <xdr:sp macro="" textlink="">
      <xdr:nvSpPr>
        <xdr:cNvPr id="37" name="TextBox 12">
          <a:extLst>
            <a:ext uri="{FF2B5EF4-FFF2-40B4-BE49-F238E27FC236}">
              <a16:creationId xmlns:a16="http://schemas.microsoft.com/office/drawing/2014/main" id="{DAA9CA57-C1F7-D4FF-5D9A-7932298D1E54}"/>
            </a:ext>
          </a:extLst>
        </xdr:cNvPr>
        <xdr:cNvSpPr txBox="1"/>
      </xdr:nvSpPr>
      <xdr:spPr>
        <a:xfrm>
          <a:off x="0" y="6650830"/>
          <a:ext cx="2914650" cy="34671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Interpretation</a:t>
          </a:r>
          <a:r>
            <a:rPr lang="en-GB" sz="1100" b="1" baseline="0"/>
            <a:t> of results guidance: </a:t>
          </a:r>
          <a:br>
            <a:rPr lang="en-GB" sz="1100" b="1" baseline="0"/>
          </a:br>
          <a:r>
            <a:rPr lang="en-GB" sz="1100" b="0" baseline="0"/>
            <a:t>Which building blocks are strongest and weakest at national level, and district levels? Are they the same? Are these the current priorities for strengthening, why or why not? </a:t>
          </a:r>
        </a:p>
        <a:p>
          <a:endParaRPr lang="en-GB" sz="1100" baseline="0"/>
        </a:p>
        <a:p>
          <a:endParaRPr lang="en-GB" sz="1100" baseline="0"/>
        </a:p>
        <a:p>
          <a:r>
            <a:rPr lang="en-GB" sz="1100" baseline="0"/>
            <a:t>What does this say about opportunities for systems strengthening and bottlenecks? You can look generally at the building blocks however you may find it more useful to refer to the specific benchmark criteria within the building blocks which you are working to change. </a:t>
          </a:r>
        </a:p>
        <a:p>
          <a:endParaRPr lang="en-GB" sz="1100" baseline="0"/>
        </a:p>
        <a:p>
          <a:r>
            <a:rPr lang="en-GB" sz="1100" baseline="0"/>
            <a:t>What is the difference between the districts, and does this reflect your intituive understanding of the WASH systems in these areas? How can the programme leverage strengths and weaknesses across the different areas (national, district, or across multiple geographies)? </a:t>
          </a:r>
        </a:p>
      </xdr:txBody>
    </xdr:sp>
    <xdr:clientData/>
  </xdr:twoCellAnchor>
  <xdr:twoCellAnchor>
    <xdr:from>
      <xdr:col>3</xdr:col>
      <xdr:colOff>46944</xdr:colOff>
      <xdr:row>29</xdr:row>
      <xdr:rowOff>50800</xdr:rowOff>
    </xdr:from>
    <xdr:to>
      <xdr:col>7</xdr:col>
      <xdr:colOff>1266146</xdr:colOff>
      <xdr:row>46</xdr:row>
      <xdr:rowOff>136075</xdr:rowOff>
    </xdr:to>
    <xdr:sp macro="" textlink="">
      <xdr:nvSpPr>
        <xdr:cNvPr id="57" name="TextBox 8">
          <a:extLst>
            <a:ext uri="{FF2B5EF4-FFF2-40B4-BE49-F238E27FC236}">
              <a16:creationId xmlns:a16="http://schemas.microsoft.com/office/drawing/2014/main" id="{302632DF-CBEB-45B8-AD1D-17B9D0F11927}"/>
            </a:ext>
          </a:extLst>
        </xdr:cNvPr>
        <xdr:cNvSpPr txBox="1"/>
      </xdr:nvSpPr>
      <xdr:spPr>
        <a:xfrm>
          <a:off x="4412569" y="6829425"/>
          <a:ext cx="7251702" cy="33237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Interpretation</a:t>
          </a:r>
          <a:r>
            <a:rPr lang="en-GB" sz="1100" b="1" baseline="0"/>
            <a:t> of results: </a:t>
          </a:r>
          <a:br>
            <a:rPr lang="en-GB" sz="1100" b="1" baseline="0"/>
          </a:br>
          <a:endParaRPr lang="en-GB" sz="1100" baseline="0"/>
        </a:p>
      </xdr:txBody>
    </xdr:sp>
    <xdr:clientData/>
  </xdr:twoCellAnchor>
  <xdr:twoCellAnchor editAs="oneCell">
    <xdr:from>
      <xdr:col>3</xdr:col>
      <xdr:colOff>79375</xdr:colOff>
      <xdr:row>49</xdr:row>
      <xdr:rowOff>18255</xdr:rowOff>
    </xdr:from>
    <xdr:to>
      <xdr:col>7</xdr:col>
      <xdr:colOff>1207293</xdr:colOff>
      <xdr:row>69</xdr:row>
      <xdr:rowOff>40481</xdr:rowOff>
    </xdr:to>
    <xdr:graphicFrame macro="">
      <xdr:nvGraphicFramePr>
        <xdr:cNvPr id="30" name="Chart 1">
          <a:extLst>
            <a:ext uri="{FF2B5EF4-FFF2-40B4-BE49-F238E27FC236}">
              <a16:creationId xmlns:a16="http://schemas.microsoft.com/office/drawing/2014/main" id="{A57F1EFA-7BC6-4511-A41E-756013B16B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0</xdr:colOff>
      <xdr:row>49</xdr:row>
      <xdr:rowOff>0</xdr:rowOff>
    </xdr:from>
    <xdr:to>
      <xdr:col>12</xdr:col>
      <xdr:colOff>1127918</xdr:colOff>
      <xdr:row>69</xdr:row>
      <xdr:rowOff>22226</xdr:rowOff>
    </xdr:to>
    <xdr:graphicFrame macro="">
      <xdr:nvGraphicFramePr>
        <xdr:cNvPr id="20" name="Chart 1">
          <a:extLst>
            <a:ext uri="{FF2B5EF4-FFF2-40B4-BE49-F238E27FC236}">
              <a16:creationId xmlns:a16="http://schemas.microsoft.com/office/drawing/2014/main" id="{FBB6402F-6C9D-44DD-8509-F76D07B30A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0</xdr:colOff>
      <xdr:row>71</xdr:row>
      <xdr:rowOff>0</xdr:rowOff>
    </xdr:from>
    <xdr:to>
      <xdr:col>7</xdr:col>
      <xdr:colOff>1127918</xdr:colOff>
      <xdr:row>91</xdr:row>
      <xdr:rowOff>22225</xdr:rowOff>
    </xdr:to>
    <xdr:graphicFrame macro="">
      <xdr:nvGraphicFramePr>
        <xdr:cNvPr id="21" name="Chart 1">
          <a:extLst>
            <a:ext uri="{FF2B5EF4-FFF2-40B4-BE49-F238E27FC236}">
              <a16:creationId xmlns:a16="http://schemas.microsoft.com/office/drawing/2014/main" id="{FB33EB0A-62DE-4816-988C-9608B2E994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8</xdr:col>
      <xdr:colOff>0</xdr:colOff>
      <xdr:row>71</xdr:row>
      <xdr:rowOff>0</xdr:rowOff>
    </xdr:from>
    <xdr:to>
      <xdr:col>12</xdr:col>
      <xdr:colOff>1127918</xdr:colOff>
      <xdr:row>91</xdr:row>
      <xdr:rowOff>22225</xdr:rowOff>
    </xdr:to>
    <xdr:graphicFrame macro="">
      <xdr:nvGraphicFramePr>
        <xdr:cNvPr id="22" name="Chart 1">
          <a:extLst>
            <a:ext uri="{FF2B5EF4-FFF2-40B4-BE49-F238E27FC236}">
              <a16:creationId xmlns:a16="http://schemas.microsoft.com/office/drawing/2014/main" id="{94DF30DE-7818-4B7C-B424-6AEA498ACE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81643</xdr:colOff>
      <xdr:row>4</xdr:row>
      <xdr:rowOff>190500</xdr:rowOff>
    </xdr:from>
    <xdr:to>
      <xdr:col>10</xdr:col>
      <xdr:colOff>488043</xdr:colOff>
      <xdr:row>5</xdr:row>
      <xdr:rowOff>229960</xdr:rowOff>
    </xdr:to>
    <xdr:sp macro="" textlink="">
      <xdr:nvSpPr>
        <xdr:cNvPr id="2" name="Rectangle: Rounded Corners 1">
          <a:hlinkClick xmlns:r="http://schemas.openxmlformats.org/officeDocument/2006/relationships" r:id="rId6"/>
          <a:extLst>
            <a:ext uri="{FF2B5EF4-FFF2-40B4-BE49-F238E27FC236}">
              <a16:creationId xmlns:a16="http://schemas.microsoft.com/office/drawing/2014/main" id="{FFE3819B-8C89-41FE-B810-7322E76FB70C}"/>
            </a:ext>
          </a:extLst>
        </xdr:cNvPr>
        <xdr:cNvSpPr/>
      </xdr:nvSpPr>
      <xdr:spPr>
        <a:xfrm>
          <a:off x="13511893" y="1088571"/>
          <a:ext cx="1916793" cy="366032"/>
        </a:xfrm>
        <a:prstGeom prst="roundRect">
          <a:avLst/>
        </a:prstGeom>
        <a:solidFill>
          <a:schemeClr val="tx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Guidance</a:t>
          </a:r>
          <a:endParaRPr lang="en-NL" sz="1100"/>
        </a:p>
      </xdr:txBody>
    </xdr:sp>
    <xdr:clientData fPrintsWithSheet="0"/>
  </xdr:twoCellAnchor>
  <xdr:twoCellAnchor editAs="oneCell">
    <xdr:from>
      <xdr:col>9</xdr:col>
      <xdr:colOff>81643</xdr:colOff>
      <xdr:row>6</xdr:row>
      <xdr:rowOff>147320</xdr:rowOff>
    </xdr:from>
    <xdr:to>
      <xdr:col>10</xdr:col>
      <xdr:colOff>488043</xdr:colOff>
      <xdr:row>8</xdr:row>
      <xdr:rowOff>111487</xdr:rowOff>
    </xdr:to>
    <xdr:sp macro="" textlink="">
      <xdr:nvSpPr>
        <xdr:cNvPr id="3" name="Rectangle: Rounded Corners 2">
          <a:hlinkClick xmlns:r="http://schemas.openxmlformats.org/officeDocument/2006/relationships" r:id="rId7"/>
          <a:extLst>
            <a:ext uri="{FF2B5EF4-FFF2-40B4-BE49-F238E27FC236}">
              <a16:creationId xmlns:a16="http://schemas.microsoft.com/office/drawing/2014/main" id="{25FD5237-D3EB-471B-AFE3-630CD9E95C81}"/>
            </a:ext>
          </a:extLst>
        </xdr:cNvPr>
        <xdr:cNvSpPr/>
      </xdr:nvSpPr>
      <xdr:spPr>
        <a:xfrm>
          <a:off x="13511893" y="1616891"/>
          <a:ext cx="1916793" cy="372382"/>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Water</a:t>
          </a:r>
          <a:endParaRPr lang="en-NL" sz="1100"/>
        </a:p>
      </xdr:txBody>
    </xdr:sp>
    <xdr:clientData fPrintsWithSheet="0"/>
  </xdr:twoCellAnchor>
  <xdr:twoCellAnchor editAs="oneCell">
    <xdr:from>
      <xdr:col>9</xdr:col>
      <xdr:colOff>81643</xdr:colOff>
      <xdr:row>9</xdr:row>
      <xdr:rowOff>69668</xdr:rowOff>
    </xdr:from>
    <xdr:to>
      <xdr:col>10</xdr:col>
      <xdr:colOff>488043</xdr:colOff>
      <xdr:row>11</xdr:row>
      <xdr:rowOff>37011</xdr:rowOff>
    </xdr:to>
    <xdr:sp macro="" textlink="">
      <xdr:nvSpPr>
        <xdr:cNvPr id="4" name="Rectangle: Rounded Corners 3">
          <a:hlinkClick xmlns:r="http://schemas.openxmlformats.org/officeDocument/2006/relationships" r:id="rId8"/>
          <a:extLst>
            <a:ext uri="{FF2B5EF4-FFF2-40B4-BE49-F238E27FC236}">
              <a16:creationId xmlns:a16="http://schemas.microsoft.com/office/drawing/2014/main" id="{CB6DA0B5-4EE4-4039-98E9-A8BAAAB17B63}"/>
            </a:ext>
          </a:extLst>
        </xdr:cNvPr>
        <xdr:cNvSpPr/>
      </xdr:nvSpPr>
      <xdr:spPr>
        <a:xfrm>
          <a:off x="13511893" y="2151561"/>
          <a:ext cx="1916793" cy="37555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S&amp;H</a:t>
          </a:r>
          <a:endParaRPr lang="en-NL" sz="1100"/>
        </a:p>
      </xdr:txBody>
    </xdr:sp>
    <xdr:clientData fPrintsWithSheet="0"/>
  </xdr:twoCellAnchor>
  <xdr:twoCellAnchor editAs="oneCell">
    <xdr:from>
      <xdr:col>9</xdr:col>
      <xdr:colOff>81643</xdr:colOff>
      <xdr:row>11</xdr:row>
      <xdr:rowOff>202474</xdr:rowOff>
    </xdr:from>
    <xdr:to>
      <xdr:col>10</xdr:col>
      <xdr:colOff>488043</xdr:colOff>
      <xdr:row>13</xdr:row>
      <xdr:rowOff>6531</xdr:rowOff>
    </xdr:to>
    <xdr:sp macro="" textlink="">
      <xdr:nvSpPr>
        <xdr:cNvPr id="5" name="Rectangle: Rounded Corners 4">
          <a:hlinkClick xmlns:r="http://schemas.openxmlformats.org/officeDocument/2006/relationships" r:id="rId9"/>
          <a:extLst>
            <a:ext uri="{FF2B5EF4-FFF2-40B4-BE49-F238E27FC236}">
              <a16:creationId xmlns:a16="http://schemas.microsoft.com/office/drawing/2014/main" id="{F0FC0DB3-997E-4A2A-9F78-FBFD638A140B}"/>
            </a:ext>
          </a:extLst>
        </xdr:cNvPr>
        <xdr:cNvSpPr/>
      </xdr:nvSpPr>
      <xdr:spPr>
        <a:xfrm>
          <a:off x="13511893" y="2692581"/>
          <a:ext cx="1916793" cy="375557"/>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National HCF</a:t>
          </a:r>
          <a:endParaRPr lang="en-NL" sz="1100"/>
        </a:p>
      </xdr:txBody>
    </xdr:sp>
    <xdr:clientData fPrintsWithSheet="0"/>
  </xdr:twoCellAnchor>
  <xdr:twoCellAnchor editAs="oneCell">
    <xdr:from>
      <xdr:col>9</xdr:col>
      <xdr:colOff>81643</xdr:colOff>
      <xdr:row>13</xdr:row>
      <xdr:rowOff>165644</xdr:rowOff>
    </xdr:from>
    <xdr:to>
      <xdr:col>10</xdr:col>
      <xdr:colOff>488043</xdr:colOff>
      <xdr:row>15</xdr:row>
      <xdr:rowOff>129812</xdr:rowOff>
    </xdr:to>
    <xdr:sp macro="" textlink="">
      <xdr:nvSpPr>
        <xdr:cNvPr id="6" name="Rectangle: Rounded Corners 5">
          <a:hlinkClick xmlns:r="http://schemas.openxmlformats.org/officeDocument/2006/relationships" r:id="rId10"/>
          <a:extLst>
            <a:ext uri="{FF2B5EF4-FFF2-40B4-BE49-F238E27FC236}">
              <a16:creationId xmlns:a16="http://schemas.microsoft.com/office/drawing/2014/main" id="{04865551-7ABF-4A0B-8AA4-8962D7401480}"/>
            </a:ext>
          </a:extLst>
        </xdr:cNvPr>
        <xdr:cNvSpPr/>
      </xdr:nvSpPr>
      <xdr:spPr>
        <a:xfrm>
          <a:off x="13511893" y="3227251"/>
          <a:ext cx="1916793" cy="372382"/>
        </a:xfrm>
        <a:prstGeom prst="roundRect">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District</a:t>
          </a:r>
          <a:r>
            <a:rPr lang="en-GB" sz="1100" baseline="0"/>
            <a:t> 1</a:t>
          </a:r>
          <a:endParaRPr lang="en-NL" sz="1100"/>
        </a:p>
      </xdr:txBody>
    </xdr:sp>
    <xdr:clientData fPrintsWithSheet="0"/>
  </xdr:twoCellAnchor>
  <xdr:twoCellAnchor editAs="oneCell">
    <xdr:from>
      <xdr:col>9</xdr:col>
      <xdr:colOff>81643</xdr:colOff>
      <xdr:row>16</xdr:row>
      <xdr:rowOff>81642</xdr:rowOff>
    </xdr:from>
    <xdr:to>
      <xdr:col>10</xdr:col>
      <xdr:colOff>488043</xdr:colOff>
      <xdr:row>18</xdr:row>
      <xdr:rowOff>52160</xdr:rowOff>
    </xdr:to>
    <xdr:sp macro="" textlink="">
      <xdr:nvSpPr>
        <xdr:cNvPr id="7" name="Rectangle: Rounded Corners 6">
          <a:hlinkClick xmlns:r="http://schemas.openxmlformats.org/officeDocument/2006/relationships" r:id="rId11"/>
          <a:extLst>
            <a:ext uri="{FF2B5EF4-FFF2-40B4-BE49-F238E27FC236}">
              <a16:creationId xmlns:a16="http://schemas.microsoft.com/office/drawing/2014/main" id="{6F7BC75B-9276-4FCC-A4FC-17532259F3A7}"/>
            </a:ext>
          </a:extLst>
        </xdr:cNvPr>
        <xdr:cNvSpPr/>
      </xdr:nvSpPr>
      <xdr:spPr>
        <a:xfrm>
          <a:off x="13511893" y="3755571"/>
          <a:ext cx="1916793" cy="378732"/>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tx1"/>
              </a:solidFill>
            </a:rPr>
            <a:t>Dashboard</a:t>
          </a:r>
          <a:endParaRPr lang="en-NL" sz="1100">
            <a:solidFill>
              <a:schemeClr val="tx1"/>
            </a:solidFill>
          </a:endParaRPr>
        </a:p>
      </xdr:txBody>
    </xdr:sp>
    <xdr:clientData fPrint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ource" xr10:uid="{3103A987-5E62-4D8A-9B97-60F64ED745A1}" sourceName="Source">
  <extLst>
    <x:ext xmlns:x15="http://schemas.microsoft.com/office/spreadsheetml/2010/11/main" uri="{2F2917AC-EB37-4324-AD4E-5DD8C200BD13}">
      <x15:tableSlicerCache tableId="8" column="10"/>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ource1" xr10:uid="{E828902C-B34F-4C49-950E-2FAD7299466E}" sourceName="Source">
  <extLst>
    <x:ext xmlns:x15="http://schemas.microsoft.com/office/spreadsheetml/2010/11/main" uri="{2F2917AC-EB37-4324-AD4E-5DD8C200BD13}">
      <x15:tableSlicerCache tableId="2" column="10"/>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ource2" xr10:uid="{DF86256A-8E3C-4826-8920-11196DF7F706}" sourceName="Source">
  <extLst>
    <x:ext xmlns:x15="http://schemas.microsoft.com/office/spreadsheetml/2010/11/main" uri="{2F2917AC-EB37-4324-AD4E-5DD8C200BD13}">
      <x15:tableSlicerCache tableId="4" column="10"/>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ource3" xr10:uid="{E2371145-A942-4849-904C-CAE28212C1FB}" sourceName="Source">
  <extLst>
    <x:ext xmlns:x15="http://schemas.microsoft.com/office/spreadsheetml/2010/11/main" uri="{2F2917AC-EB37-4324-AD4E-5DD8C200BD13}">
      <x15:tableSlicerCache tableId="7" column="10"/>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how" xr10:uid="{1F115467-647E-43F8-B57B-57453F19A91A}" cache="Slicer_Source" caption="Show" columnCount="2" style="SlicerStyleDark3" rowHeight="262466"/>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how 1" xr10:uid="{DEE24FA9-46F4-4582-9AD5-642F29D5421E}" cache="Slicer_Source1" caption="Show" columnCount="2" style="SlicerStyleDark3" rowHeight="262466"/>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how 2" xr10:uid="{32F36EA0-DC60-4667-80A6-5F956836BA56}" cache="Slicer_Source2" caption="Show" columnCount="2" style="SlicerStyleDark3" rowHeight="262466"/>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how 3" xr10:uid="{013EB4E0-8F35-41D0-ACC9-376EDBE3FFC7}" cache="Slicer_Source3" caption="Show" columnCount="2" style="SlicerStyleDark3" rowHeight="262466"/>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890EBA6-023F-433D-BF11-62B1F2775D8C}" name="tblNational_water" displayName="tblNational_water" ref="A5:Q73" totalsRowShown="0" headerRowDxfId="236">
  <autoFilter ref="A5:Q73" xr:uid="{4097E915-570F-4494-81F5-AE89707F4CC3}"/>
  <sortState xmlns:xlrd2="http://schemas.microsoft.com/office/spreadsheetml/2017/richdata2" ref="A6:Q73">
    <sortCondition ref="H5:H73"/>
  </sortState>
  <tableColumns count="17">
    <tableColumn id="9" xr3:uid="{5C6CA90C-E579-4523-8810-D18140106F98}" name="National" dataDxfId="235">
      <calculatedColumnFormula>IF($O$1="Fill in Name","National",$O$1)</calculatedColumnFormula>
    </tableColumn>
    <tableColumn id="11" xr3:uid="{0F390A7E-C59C-42BD-B578-470A9DCDBF3B}" name="Year" dataDxfId="234">
      <calculatedColumnFormula>Year</calculatedColumnFormula>
    </tableColumn>
    <tableColumn id="10" xr3:uid="{4DBDC3D2-DE77-4CC5-8E8A-C60F0F09F145}" name="Source" dataDxfId="233"/>
    <tableColumn id="12" xr3:uid="{D921BAAA-A7FF-4270-93E4-5FD184C515CB}" name="Category" dataDxfId="232">
      <calculatedColumnFormula>$O$2</calculatedColumnFormula>
    </tableColumn>
    <tableColumn id="29" xr3:uid="{B99450E7-3364-4FE1-B016-001558D18075}" name="Contributing to Index Indicator 1 Climate" dataDxfId="231"/>
    <tableColumn id="28" xr3:uid="{40826627-BEB8-4A5A-AE7D-F73A5A4D8BD8}" name="Contributing to Index Indicator 2 Capacity" dataDxfId="230"/>
    <tableColumn id="14" xr3:uid="{A4749E9D-97AB-4E84-9978-DDAD54861715}" name="Contributes to Index Indicator 3" dataDxfId="229"/>
    <tableColumn id="15" xr3:uid="{531717AB-9584-498D-AB48-DAA224B0E43E}" name="Sorting" dataDxfId="228"/>
    <tableColumn id="1" xr3:uid="{35A43AEB-4FB3-44EC-B83E-53D2AA632C40}" name="Outcome- number" dataDxfId="227">
      <calculatedColumnFormula>IF(tblNational_water[[#This Row],[Code]]&gt;9.99,LEFT(tblNational_water[[#This Row],[Code]],2),LEFT(tblNational_water[[#This Row],[Code]],1))</calculatedColumnFormula>
    </tableColumn>
    <tableColumn id="2" xr3:uid="{63F8D197-483E-4F14-90AD-12E5B616010D}" name="Building block" dataDxfId="226" dataCellStyle="Normal 8"/>
    <tableColumn id="3" xr3:uid="{0131BBD0-1331-40D9-8D7C-033637250EBC}" name="Code" dataDxfId="225" dataCellStyle="Normal 8"/>
    <tableColumn id="4" xr3:uid="{3765F4DD-A6AD-4998-B024-5D5BB5D43799}" name="Benchmark" dataDxfId="224" dataCellStyle="Normal 8"/>
    <tableColumn id="5" xr3:uid="{C834594D-4CDB-4851-8F13-B0DF11BA5EE5}" name="Rating" dataDxfId="223"/>
    <tableColumn id="8" xr3:uid="{B67D9F3E-F65F-41EF-9BB5-2705909C893B}" name="Provide details and explanations to justify the rating" dataDxfId="222"/>
    <tableColumn id="13" xr3:uid="{E12B608A-D0AE-462C-8C8E-06F25F1F59F6}" name="Provide references to data sources where relevant" dataDxfId="221"/>
    <tableColumn id="6" xr3:uid="{EF51B09C-F8A8-4AFC-9555-CC1F4628E28E}" name="Benchmark Score" dataDxfId="220">
      <calculatedColumnFormula>IFERROR(VLOOKUP(tblNational_water[[#This Row],[Rating]],Guidance!$A$11:$C$15,3,0),"")</calculatedColumnFormula>
    </tableColumn>
    <tableColumn id="7" xr3:uid="{9C253ACA-4C74-456A-9C51-D0CEA39F9288}" name="Overall building block score" dataDxfId="219">
      <calculatedColumnFormula>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19308F-03E9-46D5-8874-EC66062931AE}" name="Results_water_national" displayName="Results_water_national" ref="S5:W19" totalsRowCount="1">
  <autoFilter ref="S5:W18" xr:uid="{1719308F-03E9-46D5-8874-EC66062931AE}"/>
  <tableColumns count="5">
    <tableColumn id="1" xr3:uid="{4C086AD7-161E-4508-A4CA-EE24A8551022}" name="Category" totalsRowLabel="Total" dataDxfId="218" totalsRowDxfId="217">
      <calculatedColumnFormula>$O$2</calculatedColumnFormula>
    </tableColumn>
    <tableColumn id="2" xr3:uid="{17CEF9D8-1A0C-48D1-9039-2E3A838B9AC4}" name="Area" dataDxfId="216" totalsRowDxfId="215">
      <calculatedColumnFormula>$O$1</calculatedColumnFormula>
    </tableColumn>
    <tableColumn id="3" xr3:uid="{BFC0A944-FCC0-4D28-86AA-13F95A0AC992}" name="Indicator" totalsRowLabel="All" dataDxfId="214" totalsRowDxfId="213" dataCellStyle="Normal 8 2"/>
    <tableColumn id="4" xr3:uid="{FC0F4AC8-2642-42F5-8FD8-9F472212A4BC}" name="Building block" totalsRowLabel="All" dataDxfId="212" totalsRowDxfId="211" dataCellStyle="Normal 8 2"/>
    <tableColumn id="5" xr3:uid="{5E5B3102-F2B7-4A88-87EC-8CCB014AE734}" name="Index" totalsRowFunction="custom" dataDxfId="210" totalsRowDxfId="209">
      <calculatedColumnFormula>IFERROR(VLOOKUP(Results_water_national[[#This Row],[Indicator]],tblNational_water[[#All],[Code]:[Overall building block score]],7,0),"")</calculatedColumnFormula>
      <totalsRowFormula>IFERROR(SUBTOTAL(101,Results_water_national[Index]),"")</totalsRowFormula>
    </tableColumn>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2434B1D-B49C-4C1E-896D-D06C6485795A}" name="tblNational_S_H" displayName="tblNational_S_H" ref="A5:Q72" totalsRowShown="0" headerRowDxfId="208">
  <autoFilter ref="A5:Q72" xr:uid="{4097E915-570F-4494-81F5-AE89707F4CC3}"/>
  <sortState xmlns:xlrd2="http://schemas.microsoft.com/office/spreadsheetml/2017/richdata2" ref="A6:Q72">
    <sortCondition ref="H5:H72"/>
  </sortState>
  <tableColumns count="17">
    <tableColumn id="9" xr3:uid="{3BE1758A-BFAF-4301-B064-CD981AA4B4AC}" name="National" dataDxfId="207">
      <calculatedColumnFormula>IF($O$1="Fill in Name","National",$O$1)</calculatedColumnFormula>
    </tableColumn>
    <tableColumn id="11" xr3:uid="{D33E57E7-4A40-4E7E-B2C7-EC2DFC988EED}" name="Year" dataDxfId="206">
      <calculatedColumnFormula>Year</calculatedColumnFormula>
    </tableColumn>
    <tableColumn id="10" xr3:uid="{CE17A4DF-A39B-4D3D-8032-1E4848499061}" name="Source" dataDxfId="205"/>
    <tableColumn id="12" xr3:uid="{31807B2A-8971-446D-A158-76F6933C39AC}" name="Category" dataDxfId="204">
      <calculatedColumnFormula>$O$2</calculatedColumnFormula>
    </tableColumn>
    <tableColumn id="29" xr3:uid="{3AE653D3-CE95-44EC-9E68-2CD18FB0BDD6}" name="Contributing to Index Indicator 1 Climate" dataDxfId="203"/>
    <tableColumn id="28" xr3:uid="{935AE920-6503-4CB8-A20B-FF0389918D9A}" name="Contributing to Index Indicator 2 Capacity" dataDxfId="202"/>
    <tableColumn id="14" xr3:uid="{2DE09D97-0508-4CEB-8221-3883A807D403}" name="Contributes to Index Indicator 3" dataDxfId="201"/>
    <tableColumn id="15" xr3:uid="{62F6F34E-D3EE-487D-B851-108E69961E49}" name="Sorting" dataDxfId="200"/>
    <tableColumn id="1" xr3:uid="{0CD63A8D-8344-4DE7-ACBA-E1039502719C}" name="Outcome- number" dataDxfId="199">
      <calculatedColumnFormula>IF(tblNational_S_H[[#This Row],[Code]]&gt;9.99,LEFT(tblNational_S_H[[#This Row],[Code]],2),LEFT(tblNational_S_H[[#This Row],[Code]],1))</calculatedColumnFormula>
    </tableColumn>
    <tableColumn id="2" xr3:uid="{CD0AA1CD-9792-427A-8940-AAAAF8B46FA5}" name="Building block" dataDxfId="198" dataCellStyle="Normal 8"/>
    <tableColumn id="3" xr3:uid="{18CE866A-5981-4A69-9597-7636ACD56ED7}" name="Code" dataDxfId="197" dataCellStyle="Normal 8"/>
    <tableColumn id="4" xr3:uid="{962D8DE0-03E6-4C57-927A-49BA4DBE2572}" name="Description" dataDxfId="196" dataCellStyle="Normal 8"/>
    <tableColumn id="5" xr3:uid="{241995EC-2F92-49AD-B0E4-F94D8E24CA76}" name="Rating" dataDxfId="195"/>
    <tableColumn id="8" xr3:uid="{81CC0AA7-06E9-411B-87D0-D6C56195D4FD}" name="Provide details and explanations to justify the scores" dataDxfId="194"/>
    <tableColumn id="13" xr3:uid="{C348DE15-9370-409F-ADA3-2D7C5778A649}" name="Provide references to data sources where relevant" dataDxfId="193"/>
    <tableColumn id="6" xr3:uid="{A2FCE0C3-3A49-4F86-A525-04A5908F2F79}" name="Indicator Score" dataDxfId="192">
      <calculatedColumnFormula>IFERROR(VLOOKUP(tblNational_S_H[[#This Row],[Rating]],Guidance!$A$11:$C$15,3,0),"")</calculatedColumnFormula>
    </tableColumn>
    <tableColumn id="7" xr3:uid="{E5B74354-7FFE-4B2D-9ED6-DDD1BC02299D}" name="Index" dataDxfId="191">
      <calculatedColumnFormula>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calculatedColumnFormula>
    </tableColumn>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5DEFF35-7863-4D85-B2E4-FF7CB4865728}" name="Results_S_H_national" displayName="Results_S_H_national" ref="S5:W19" totalsRowCount="1">
  <autoFilter ref="S5:W18" xr:uid="{1719308F-03E9-46D5-8874-EC66062931AE}"/>
  <tableColumns count="5">
    <tableColumn id="1" xr3:uid="{330FA276-AC64-42E1-AECF-8C1541EE28F7}" name="Category" totalsRowLabel="Total" dataDxfId="190" totalsRowDxfId="189">
      <calculatedColumnFormula>$O$2</calculatedColumnFormula>
    </tableColumn>
    <tableColumn id="2" xr3:uid="{A18305A1-738E-4A84-A6F0-E3ADB92E3DC6}" name="Area" dataDxfId="188" totalsRowDxfId="187">
      <calculatedColumnFormula>$O$1</calculatedColumnFormula>
    </tableColumn>
    <tableColumn id="3" xr3:uid="{DD9D1D9A-7915-441C-B057-F5F681B4C7D1}" name="Indicator" totalsRowLabel="All" dataDxfId="186" totalsRowDxfId="185" dataCellStyle="Normal 8 2"/>
    <tableColumn id="4" xr3:uid="{F15ADE21-DF80-4389-8FEF-EBBED17FF295}" name="Building block" totalsRowLabel="All" dataDxfId="184" totalsRowDxfId="183" dataCellStyle="Normal 8 2"/>
    <tableColumn id="5" xr3:uid="{18273C45-BE89-43D0-84FA-328E1E66B9C7}" name="Index" totalsRowFunction="custom" dataDxfId="182" totalsRowDxfId="181">
      <calculatedColumnFormula>IFERROR(VLOOKUP(Results_S_H_national[[#This Row],[Indicator]],tblNational_S_H[[#All],[Code]:[Index]],7,0),"")</calculatedColumnFormula>
      <totalsRowFormula>IFERROR(SUBTOTAL(101,Results_S_H_national[Index]),"")</totalsRowFormula>
    </tableColumn>
  </tableColumns>
  <tableStyleInfo name="TableStyleLight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D7DA95-BE44-48C7-8D29-FFAA6D98FD8A}" name="tblNational_HCF" displayName="tblNational_HCF" ref="A5:Q60" totalsRowShown="0" headerRowDxfId="180">
  <autoFilter ref="A5:Q60" xr:uid="{4097E915-570F-4494-81F5-AE89707F4CC3}"/>
  <sortState xmlns:xlrd2="http://schemas.microsoft.com/office/spreadsheetml/2017/richdata2" ref="A6:Q60">
    <sortCondition ref="H5:H60"/>
  </sortState>
  <tableColumns count="17">
    <tableColumn id="9" xr3:uid="{D28609CA-59C4-43EF-8AB0-FB8D248C9C89}" name="National" dataDxfId="179">
      <calculatedColumnFormula>IF($O$1="Fill in Name","National",$O$1)</calculatedColumnFormula>
    </tableColumn>
    <tableColumn id="11" xr3:uid="{E999C4E2-B5AE-4B6D-B793-6AB10FC6BE13}" name="Year" dataDxfId="178">
      <calculatedColumnFormula>Year</calculatedColumnFormula>
    </tableColumn>
    <tableColumn id="10" xr3:uid="{E042B612-44BB-4070-AFB0-9E628642B5B1}" name="Source" dataDxfId="177"/>
    <tableColumn id="12" xr3:uid="{F815F123-F5B2-403D-92B3-CFCC3B2002BF}" name="Category" dataDxfId="176">
      <calculatedColumnFormula>$O$2</calculatedColumnFormula>
    </tableColumn>
    <tableColumn id="29" xr3:uid="{6703E74C-D734-417B-A4CE-3003441D7878}" name="Contributing to Index Indicator 1 Climate" dataDxfId="175"/>
    <tableColumn id="28" xr3:uid="{27930E7C-DDAB-440A-8C36-40810E256430}" name="Contributing to Index Indicator 2 Capacity" dataDxfId="174"/>
    <tableColumn id="14" xr3:uid="{97AF3345-AFD9-40A8-BBFB-A08043DE4A4E}" name="Contributes to Index Indicator 3" dataDxfId="173"/>
    <tableColumn id="15" xr3:uid="{3F53E582-4528-4EB8-8253-72D044F2F1F7}" name="Sorting" dataDxfId="172"/>
    <tableColumn id="1" xr3:uid="{C3738C04-4DAC-456A-9FBD-61CBD742530B}" name="Outcome- number" dataDxfId="171">
      <calculatedColumnFormula>IF(tblNational_HCF[[#This Row],[Code]]&gt;9.99,LEFT(tblNational_HCF[[#This Row],[Code]],2),LEFT(tblNational_HCF[[#This Row],[Code]],1))</calculatedColumnFormula>
    </tableColumn>
    <tableColumn id="2" xr3:uid="{8FBBBCB4-029C-400D-A0BB-E0358F96A97F}" name="Building block" dataDxfId="170" dataCellStyle="Normal 8"/>
    <tableColumn id="3" xr3:uid="{0B6AA8D3-67AB-4586-91F3-0B613CC61CE0}" name="Code" dataDxfId="169" dataCellStyle="Normal 8"/>
    <tableColumn id="4" xr3:uid="{BA5E6654-7DF2-4F83-9C1B-BC579DE06C4B}" name="Description" dataDxfId="168" dataCellStyle="Normal 8"/>
    <tableColumn id="5" xr3:uid="{5B3AEEB0-12B5-4360-98E2-4F571C154532}" name="Rating" dataDxfId="167"/>
    <tableColumn id="8" xr3:uid="{B7C8E412-BC45-4D8B-9557-4405829416E6}" name="Provide details and explanations to justify the scores" dataDxfId="166"/>
    <tableColumn id="13" xr3:uid="{F539BFA0-A76F-43E1-BE01-01D4A9DF798A}" name="Provide references to data sources where relevant" dataDxfId="165"/>
    <tableColumn id="6" xr3:uid="{F0E273D5-7627-46FD-A848-D9CB26189D3C}" name="Indicator Score" dataDxfId="164">
      <calculatedColumnFormula>IFERROR(VLOOKUP(tblNational_HCF[[#This Row],[Rating]],Guidance!$A$11:$C$15,3,0),"")</calculatedColumnFormula>
    </tableColumn>
    <tableColumn id="7" xr3:uid="{B2F7722C-077A-4508-9DFC-5962654B2872}" name="Index" dataDxfId="163">
      <calculatedColumnFormula>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calculatedColumnFormula>
    </tableColumn>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1598EDA-4608-4906-9A4C-0D07EA7B501E}" name="Results_HCF_national" displayName="Results_HCF_national" ref="S5:W19" totalsRowCount="1">
  <autoFilter ref="S5:W18" xr:uid="{1719308F-03E9-46D5-8874-EC66062931AE}"/>
  <tableColumns count="5">
    <tableColumn id="1" xr3:uid="{F25F67E1-466C-4634-9170-E0D5EC3A8E58}" name="Category" totalsRowLabel="Total" dataDxfId="162" totalsRowDxfId="161">
      <calculatedColumnFormula>$O$2</calculatedColumnFormula>
    </tableColumn>
    <tableColumn id="2" xr3:uid="{CF61CECC-F206-4A87-8D49-1C9E2E673FC4}" name="Area" dataDxfId="160" totalsRowDxfId="159">
      <calculatedColumnFormula>$O$1</calculatedColumnFormula>
    </tableColumn>
    <tableColumn id="3" xr3:uid="{F92CBDD8-E10B-446A-B8AE-3A34B30BE93C}" name="Indicator" totalsRowLabel="All" dataDxfId="158" totalsRowDxfId="157" dataCellStyle="Normal 8 2"/>
    <tableColumn id="4" xr3:uid="{C44A0686-892B-406A-89B8-DE3B4E498ED4}" name="Building block" totalsRowLabel="All" dataDxfId="156" totalsRowDxfId="155" dataCellStyle="Normal 8 2"/>
    <tableColumn id="5" xr3:uid="{5D13F23D-C7CB-491D-9415-4EEF51D637D8}" name="Index" totalsRowFunction="custom" dataDxfId="154" totalsRowDxfId="153">
      <calculatedColumnFormula>IFERROR(VLOOKUP(Results_HCF_national[[#This Row],[Indicator]],tblNational_HCF[[#All],[Code]:[Index]],7,0),"")</calculatedColumnFormula>
      <totalsRowFormula>IFERROR(SUBTOTAL(101,Results_HCF_national[Index]),"")</totalsRowFormula>
    </tableColumn>
  </tableColumns>
  <tableStyleInfo name="TableStyleLight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A3B7133-EC0D-459C-91C2-C47F6915D83C}" name="tblDistrict_1" displayName="tblDistrict_1" ref="A5:R74" totalsRowShown="0" headerRowDxfId="152">
  <autoFilter ref="A5:R74" xr:uid="{4097E915-570F-4494-81F5-AE89707F4CC3}"/>
  <sortState xmlns:xlrd2="http://schemas.microsoft.com/office/spreadsheetml/2017/richdata2" ref="A6:R74">
    <sortCondition ref="I5:I74"/>
  </sortState>
  <tableColumns count="18">
    <tableColumn id="9" xr3:uid="{F8AE10EC-7527-4203-8994-F218F4FC0795}" name="National" dataDxfId="151">
      <calculatedColumnFormula>IF(Guidance!E5="","fill in name of country/state in guidance sheet",Guidance!E5)</calculatedColumnFormula>
    </tableColumn>
    <tableColumn id="16" xr3:uid="{96E3AFBC-3322-4873-8DFE-43CBC48D5356}" name="Subnationa" dataDxfId="150">
      <calculatedColumnFormula>IF($P$1="","",$P$1)</calculatedColumnFormula>
    </tableColumn>
    <tableColumn id="11" xr3:uid="{B94F1C50-E174-4B4D-AD23-4FCAFAEFD82B}" name="Year" dataDxfId="149">
      <calculatedColumnFormula>Year</calculatedColumnFormula>
    </tableColumn>
    <tableColumn id="10" xr3:uid="{0ED9DDE0-3C0E-4519-B167-F85ADB1C1F72}" name="Source" dataDxfId="148"/>
    <tableColumn id="12" xr3:uid="{51F630BD-4F54-47E8-B59A-8038BF2B88C1}" name="Category" dataDxfId="147">
      <calculatedColumnFormula>$P$2</calculatedColumnFormula>
    </tableColumn>
    <tableColumn id="29" xr3:uid="{45FD1B38-A09C-4046-9936-96C9082ED5C0}" name="Contributing to Index Indicator 1 Climate" dataDxfId="146"/>
    <tableColumn id="28" xr3:uid="{EC556F9D-9E14-4636-9DE8-7AB84C63E1C8}" name="Contributing to Index Indicator 2 Capacity" dataDxfId="145"/>
    <tableColumn id="14" xr3:uid="{391E0E79-4B4D-4BED-B297-B092C4B6DEE0}" name="Contributes to Index Indicator 3" dataDxfId="144"/>
    <tableColumn id="15" xr3:uid="{76EF3228-F768-4FF9-AEC1-BC6FAF658DFE}" name="Sorting" dataDxfId="143"/>
    <tableColumn id="1" xr3:uid="{BC8333AC-6106-4A8C-8FEC-DFF39944D81B}" name="Outcome- number" dataDxfId="142">
      <calculatedColumnFormula>IF(tblDistrict_1[[#This Row],[Code]]&gt;9.99,LEFT(tblDistrict_1[[#This Row],[Code]],2),LEFT(tblDistrict_1[[#This Row],[Code]],1))</calculatedColumnFormula>
    </tableColumn>
    <tableColumn id="2" xr3:uid="{2ECF0B66-C777-4A02-946D-4F33625A439B}" name="Building block" dataDxfId="141" dataCellStyle="Normal 8"/>
    <tableColumn id="3" xr3:uid="{C8DF55E9-BC6B-411E-A7DA-E8717E5C65A2}" name="Code" dataDxfId="140" dataCellStyle="Normal 8"/>
    <tableColumn id="4" xr3:uid="{59D720E8-9A64-449E-AC40-6FAFD2322E19}" name="Description" dataDxfId="139" dataCellStyle="Normal 8"/>
    <tableColumn id="5" xr3:uid="{3C850AEA-335F-4A75-91F0-5526BE70E9EE}" name="Rating" dataDxfId="138"/>
    <tableColumn id="8" xr3:uid="{A6258E1D-C537-4A4C-A165-16DBEECF98EE}" name="Provide details and explanations to justify the scores" dataDxfId="137"/>
    <tableColumn id="13" xr3:uid="{9CF2B892-1E3D-462F-8456-A913D8717549}" name="Provide references to data sources where relevant" dataDxfId="136"/>
    <tableColumn id="6" xr3:uid="{5A658EBE-E923-4A83-8673-AE0C09C3EA0F}" name="Indicator Score" dataDxfId="135">
      <calculatedColumnFormula>IFERROR(VLOOKUP(tblDistrict_1[[#This Row],[Rating]],Guidance!$A$11:$C$15,3,0),"")</calculatedColumnFormula>
    </tableColumn>
    <tableColumn id="7" xr3:uid="{CB71AE58-64D4-4FAB-B254-C0CD083ECA99}" name="Index" dataDxfId="134">
      <calculatedColumnFormula>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calculatedColumnFormula>
    </tableColumn>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320D080-AB12-4E7C-ADBB-DD6AD7D2B0B4}" name="Results_district_1" displayName="Results_district_1" ref="T5:X19" totalsRowCount="1">
  <autoFilter ref="T5:X18" xr:uid="{1719308F-03E9-46D5-8874-EC66062931AE}"/>
  <tableColumns count="5">
    <tableColumn id="1" xr3:uid="{B3EAC458-1F7F-4DBA-BDAD-CBBC057B500B}" name="Category" totalsRowLabel="Total" dataDxfId="133" totalsRowDxfId="132">
      <calculatedColumnFormula>$P$2</calculatedColumnFormula>
    </tableColumn>
    <tableColumn id="2" xr3:uid="{73DC0C88-92C0-4C62-B47A-4DFA44C6BEEF}" name="Area" dataDxfId="131" totalsRowDxfId="130">
      <calculatedColumnFormula>$M$1&amp;"-"&amp;$P$1</calculatedColumnFormula>
    </tableColumn>
    <tableColumn id="3" xr3:uid="{E5994699-0535-4BEB-9622-8C55334C3952}" name="Indicator" totalsRowLabel="All" dataDxfId="129" totalsRowDxfId="128" dataCellStyle="Normal 8 2"/>
    <tableColumn id="4" xr3:uid="{60C07E6A-C919-4031-AFE0-DB4E3971DC4D}" name="Building block" totalsRowLabel="All" dataDxfId="127" totalsRowDxfId="126" dataCellStyle="Normal 8 2"/>
    <tableColumn id="5" xr3:uid="{D609ECA9-151C-42A5-868A-2FBB6A7525C9}" name="Index" totalsRowFunction="custom" dataDxfId="125" totalsRowDxfId="124">
      <calculatedColumnFormula>IFERROR(VLOOKUP(Results_district_1[[#This Row],[Indicator]],tblDistrict_1[[#All],[Code]:[Index]],7,0),"")</calculatedColumnFormula>
      <totalsRowFormula>IFERROR(SUBTOTAL(101,Results_district_1[Index]),"")</totalsRowFormula>
    </tableColumn>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Agua consult colours">
      <a:dk1>
        <a:sysClr val="windowText" lastClr="000000"/>
      </a:dk1>
      <a:lt1>
        <a:sysClr val="window" lastClr="FFFFFF"/>
      </a:lt1>
      <a:dk2>
        <a:srgbClr val="44546A"/>
      </a:dk2>
      <a:lt2>
        <a:srgbClr val="E7E6E6"/>
      </a:lt2>
      <a:accent1>
        <a:srgbClr val="6AC9CE"/>
      </a:accent1>
      <a:accent2>
        <a:srgbClr val="E33D8A"/>
      </a:accent2>
      <a:accent3>
        <a:srgbClr val="2E6D73"/>
      </a:accent3>
      <a:accent4>
        <a:srgbClr val="A29490"/>
      </a:accent4>
      <a:accent5>
        <a:srgbClr val="EAD654"/>
      </a:accent5>
      <a:accent6>
        <a:srgbClr val="76B043"/>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07/relationships/slicer" Target="../slicers/slicer1.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07/relationships/slicer" Target="../slicers/slicer2.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07/relationships/slicer" Target="../slicers/slicer3.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07/relationships/slicer" Target="../slicers/slicer4.xml"/><Relationship Id="rId5" Type="http://schemas.openxmlformats.org/officeDocument/2006/relationships/table" Target="../tables/table8.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3" tint="-0.249977111117893"/>
    <pageSetUpPr fitToPage="1"/>
  </sheetPr>
  <dimension ref="A1:AC71"/>
  <sheetViews>
    <sheetView showGridLines="0" showRowColHeaders="0" tabSelected="1" zoomScale="117" zoomScaleNormal="117" workbookViewId="0">
      <pane ySplit="4" topLeftCell="A5" activePane="bottomLeft" state="frozen"/>
      <selection pane="bottomLeft" activeCell="D15" sqref="D15"/>
    </sheetView>
  </sheetViews>
  <sheetFormatPr baseColWidth="10" defaultColWidth="8.1640625" defaultRowHeight="16" x14ac:dyDescent="0.2"/>
  <cols>
    <col min="1" max="1" width="15.1640625" customWidth="1"/>
    <col min="2" max="2" width="87.1640625" customWidth="1"/>
    <col min="4" max="4" width="12.1640625" customWidth="1"/>
    <col min="5" max="7" width="11.1640625" customWidth="1"/>
  </cols>
  <sheetData>
    <row r="1" spans="1:29" s="19" customFormat="1" x14ac:dyDescent="0.2">
      <c r="A1" s="15"/>
      <c r="B1" s="15"/>
      <c r="C1" s="15"/>
      <c r="D1" s="15"/>
      <c r="E1" s="16"/>
      <c r="F1" s="16"/>
      <c r="G1" s="16"/>
      <c r="H1" s="15"/>
      <c r="I1" s="15"/>
      <c r="J1" s="15"/>
      <c r="K1" s="15"/>
      <c r="L1" s="15"/>
      <c r="M1" s="15"/>
      <c r="N1" s="15"/>
      <c r="W1" s="20"/>
      <c r="X1" s="21"/>
      <c r="Y1" s="22"/>
      <c r="Z1" s="22"/>
      <c r="AA1" s="22"/>
      <c r="AB1" s="22"/>
      <c r="AC1" s="22"/>
    </row>
    <row r="2" spans="1:29" s="19" customFormat="1" ht="19" x14ac:dyDescent="0.2">
      <c r="A2" s="15"/>
      <c r="B2" s="17" t="s">
        <v>0</v>
      </c>
      <c r="C2" s="15"/>
      <c r="D2" s="15"/>
      <c r="E2" s="63" t="s">
        <v>1</v>
      </c>
      <c r="F2" s="16"/>
      <c r="G2" s="16"/>
      <c r="H2" s="15"/>
      <c r="I2" s="15"/>
      <c r="J2" s="15"/>
      <c r="K2" s="15"/>
      <c r="L2" s="15"/>
      <c r="M2" s="15"/>
      <c r="N2" s="15"/>
      <c r="W2" s="20"/>
      <c r="X2" s="21"/>
      <c r="Y2" s="22"/>
      <c r="Z2" s="22"/>
      <c r="AA2" s="22"/>
      <c r="AB2" s="22"/>
      <c r="AC2" s="22"/>
    </row>
    <row r="3" spans="1:29" s="19" customFormat="1" ht="19" x14ac:dyDescent="0.2">
      <c r="A3" s="15"/>
      <c r="B3" s="17" t="s">
        <v>2</v>
      </c>
      <c r="C3" s="15"/>
      <c r="D3" s="15"/>
      <c r="E3" s="16"/>
      <c r="F3" s="16"/>
      <c r="G3" s="16"/>
      <c r="H3" s="15"/>
      <c r="I3" s="15"/>
      <c r="J3" s="15"/>
      <c r="K3" s="15"/>
      <c r="L3" s="15"/>
      <c r="M3" s="15"/>
      <c r="N3" s="15"/>
      <c r="W3" s="20"/>
      <c r="X3" s="21"/>
      <c r="Y3" s="22"/>
      <c r="Z3" s="22"/>
      <c r="AA3" s="22"/>
      <c r="AB3" s="22"/>
      <c r="AC3" s="22"/>
    </row>
    <row r="4" spans="1:29" s="19" customFormat="1" x14ac:dyDescent="0.2">
      <c r="A4" s="15"/>
      <c r="B4" s="15" t="s">
        <v>3</v>
      </c>
      <c r="C4" s="15"/>
      <c r="D4" s="15"/>
      <c r="E4" s="16"/>
      <c r="F4" s="16"/>
      <c r="G4" s="16"/>
      <c r="H4" s="15"/>
      <c r="I4" s="18"/>
      <c r="J4" s="15"/>
      <c r="K4" s="15"/>
      <c r="L4" s="15"/>
      <c r="M4" s="15"/>
      <c r="N4" s="15"/>
      <c r="W4" s="20"/>
      <c r="X4" s="21"/>
      <c r="Y4" s="22"/>
      <c r="Z4" s="22"/>
      <c r="AA4" s="22"/>
      <c r="AB4" s="22"/>
      <c r="AC4" s="22"/>
    </row>
    <row r="5" spans="1:29" ht="26" x14ac:dyDescent="0.3">
      <c r="B5" s="4" t="s">
        <v>4</v>
      </c>
      <c r="D5" s="106" t="s">
        <v>5</v>
      </c>
      <c r="E5" s="84"/>
      <c r="F5" s="85" t="s">
        <v>6</v>
      </c>
    </row>
    <row r="6" spans="1:29" ht="20" x14ac:dyDescent="0.25">
      <c r="B6" s="5" t="s">
        <v>7</v>
      </c>
      <c r="D6" s="106" t="s">
        <v>8</v>
      </c>
      <c r="E6" s="28">
        <v>2026</v>
      </c>
      <c r="F6" s="61" t="s">
        <v>9</v>
      </c>
    </row>
    <row r="7" spans="1:29" ht="64" x14ac:dyDescent="0.2">
      <c r="B7" s="6" t="s">
        <v>327</v>
      </c>
      <c r="D7" s="7"/>
      <c r="E7" s="7"/>
      <c r="F7" s="7"/>
    </row>
    <row r="8" spans="1:29" ht="48" x14ac:dyDescent="0.2">
      <c r="B8" s="6" t="s">
        <v>10</v>
      </c>
      <c r="D8" s="7"/>
      <c r="E8" s="87"/>
      <c r="F8" s="7"/>
    </row>
    <row r="9" spans="1:29" x14ac:dyDescent="0.2">
      <c r="F9" s="7"/>
    </row>
    <row r="10" spans="1:29" ht="16.25" customHeight="1" x14ac:dyDescent="0.2">
      <c r="A10" s="31" t="s">
        <v>11</v>
      </c>
      <c r="B10" s="32" t="s">
        <v>12</v>
      </c>
      <c r="C10" s="9" t="s">
        <v>13</v>
      </c>
      <c r="F10" s="7"/>
    </row>
    <row r="11" spans="1:29" ht="32" customHeight="1" x14ac:dyDescent="0.2">
      <c r="A11" s="69" t="s">
        <v>14</v>
      </c>
      <c r="B11" s="33" t="s">
        <v>15</v>
      </c>
      <c r="C11" s="67">
        <v>1</v>
      </c>
      <c r="F11" s="7"/>
    </row>
    <row r="12" spans="1:29" ht="32" customHeight="1" x14ac:dyDescent="0.2">
      <c r="A12" s="70" t="s">
        <v>16</v>
      </c>
      <c r="B12" s="33" t="s">
        <v>17</v>
      </c>
      <c r="C12" s="67">
        <v>0.75</v>
      </c>
      <c r="F12" s="7"/>
    </row>
    <row r="13" spans="1:29" ht="32" customHeight="1" x14ac:dyDescent="0.2">
      <c r="A13" s="158" t="s">
        <v>18</v>
      </c>
      <c r="B13" s="34" t="s">
        <v>19</v>
      </c>
      <c r="C13" s="67">
        <v>0.5</v>
      </c>
    </row>
    <row r="14" spans="1:29" ht="32" customHeight="1" x14ac:dyDescent="0.2">
      <c r="A14" s="158" t="s">
        <v>20</v>
      </c>
      <c r="B14" s="33" t="s">
        <v>21</v>
      </c>
      <c r="C14" s="67">
        <v>0.25</v>
      </c>
    </row>
    <row r="15" spans="1:29" ht="32" customHeight="1" x14ac:dyDescent="0.2">
      <c r="A15" s="158" t="s">
        <v>22</v>
      </c>
      <c r="B15" s="33" t="s">
        <v>23</v>
      </c>
      <c r="C15" s="67">
        <v>0</v>
      </c>
    </row>
    <row r="16" spans="1:29" ht="16.25" customHeight="1" x14ac:dyDescent="0.2"/>
    <row r="17" spans="1:2" ht="32" customHeight="1" x14ac:dyDescent="0.2">
      <c r="A17" s="35" t="s">
        <v>24</v>
      </c>
      <c r="B17" s="36" t="s">
        <v>25</v>
      </c>
    </row>
    <row r="18" spans="1:2" ht="64" x14ac:dyDescent="0.2">
      <c r="A18" s="66" t="s">
        <v>26</v>
      </c>
      <c r="B18" s="6" t="s">
        <v>27</v>
      </c>
    </row>
    <row r="19" spans="1:2" ht="64" x14ac:dyDescent="0.2">
      <c r="A19" s="66" t="s">
        <v>28</v>
      </c>
      <c r="B19" s="6" t="s">
        <v>29</v>
      </c>
    </row>
    <row r="20" spans="1:2" ht="32" x14ac:dyDescent="0.2">
      <c r="A20" s="66" t="s">
        <v>30</v>
      </c>
      <c r="B20" s="6" t="s">
        <v>31</v>
      </c>
    </row>
    <row r="21" spans="1:2" ht="32" x14ac:dyDescent="0.2">
      <c r="B21" s="6" t="s">
        <v>32</v>
      </c>
    </row>
    <row r="22" spans="1:2" x14ac:dyDescent="0.2">
      <c r="B22" s="6" t="s">
        <v>33</v>
      </c>
    </row>
    <row r="23" spans="1:2" x14ac:dyDescent="0.2">
      <c r="A23" s="165" t="s">
        <v>328</v>
      </c>
      <c r="B23" s="166" t="s">
        <v>329</v>
      </c>
    </row>
    <row r="24" spans="1:2" x14ac:dyDescent="0.2">
      <c r="B24" s="6"/>
    </row>
    <row r="25" spans="1:2" x14ac:dyDescent="0.2">
      <c r="B25" s="6"/>
    </row>
    <row r="53" spans="1:2" x14ac:dyDescent="0.2">
      <c r="A53" s="51" t="s">
        <v>34</v>
      </c>
    </row>
    <row r="54" spans="1:2" ht="34" x14ac:dyDescent="0.2">
      <c r="A54" s="64" t="s">
        <v>35</v>
      </c>
      <c r="B54" s="64" t="s">
        <v>36</v>
      </c>
    </row>
    <row r="55" spans="1:2" ht="51" x14ac:dyDescent="0.2">
      <c r="A55" s="65" t="s">
        <v>37</v>
      </c>
      <c r="B55" s="65" t="s">
        <v>38</v>
      </c>
    </row>
    <row r="56" spans="1:2" ht="17" x14ac:dyDescent="0.2">
      <c r="A56" s="65" t="s">
        <v>39</v>
      </c>
      <c r="B56" s="65" t="s">
        <v>40</v>
      </c>
    </row>
    <row r="57" spans="1:2" ht="34" x14ac:dyDescent="0.2">
      <c r="A57" s="64" t="s">
        <v>41</v>
      </c>
      <c r="B57" s="64" t="s">
        <v>42</v>
      </c>
    </row>
    <row r="58" spans="1:2" ht="34" x14ac:dyDescent="0.2">
      <c r="A58" s="64" t="s">
        <v>43</v>
      </c>
      <c r="B58" s="64" t="s">
        <v>44</v>
      </c>
    </row>
    <row r="59" spans="1:2" ht="17" x14ac:dyDescent="0.2">
      <c r="A59" s="64" t="s">
        <v>45</v>
      </c>
      <c r="B59" s="64" t="s">
        <v>46</v>
      </c>
    </row>
    <row r="60" spans="1:2" ht="34" x14ac:dyDescent="0.2">
      <c r="A60" s="64" t="s">
        <v>47</v>
      </c>
      <c r="B60" s="64" t="s">
        <v>48</v>
      </c>
    </row>
    <row r="61" spans="1:2" ht="17" x14ac:dyDescent="0.2">
      <c r="A61" s="64" t="s">
        <v>49</v>
      </c>
      <c r="B61" s="64" t="s">
        <v>50</v>
      </c>
    </row>
    <row r="62" spans="1:2" ht="17" x14ac:dyDescent="0.2">
      <c r="A62" s="64" t="s">
        <v>51</v>
      </c>
      <c r="B62" s="64" t="s">
        <v>52</v>
      </c>
    </row>
    <row r="65" spans="1:3" ht="17" x14ac:dyDescent="0.2">
      <c r="A65" s="23" t="s">
        <v>53</v>
      </c>
      <c r="B65" s="28" t="s">
        <v>54</v>
      </c>
    </row>
    <row r="66" spans="1:3" ht="17" x14ac:dyDescent="0.2">
      <c r="A66" s="87"/>
      <c r="B66" s="28" t="s">
        <v>55</v>
      </c>
    </row>
    <row r="67" spans="1:3" ht="17" x14ac:dyDescent="0.2">
      <c r="A67" s="87"/>
      <c r="B67" s="28" t="s">
        <v>56</v>
      </c>
    </row>
    <row r="68" spans="1:3" ht="17" x14ac:dyDescent="0.2">
      <c r="A68" s="87"/>
      <c r="B68" s="28" t="s">
        <v>57</v>
      </c>
    </row>
    <row r="69" spans="1:3" ht="17" x14ac:dyDescent="0.2">
      <c r="A69" s="87"/>
      <c r="B69" s="28" t="s">
        <v>58</v>
      </c>
    </row>
    <row r="71" spans="1:3" x14ac:dyDescent="0.2">
      <c r="B71" s="88" t="s">
        <v>59</v>
      </c>
      <c r="C71" s="87" t="s">
        <v>60</v>
      </c>
    </row>
  </sheetData>
  <sheetProtection algorithmName="SHA-512" hashValue="9bhLgr5o+c8KZ77W7v9MnRCElDA9SBHggbassXg5RIUvxAn9j2ZD8Kl0Bv0KdGmmn84v9JAhU8puaNuaS6McLQ==" saltValue="cPeqaSouGTtHXOcS03k7zQ==" spinCount="100000" sheet="1" objects="1" scenarios="1" formatCells="0" formatColumns="0" formatRows="0" autoFilter="0"/>
  <sortState xmlns:xlrd2="http://schemas.microsoft.com/office/spreadsheetml/2017/richdata2" ref="A54:B62">
    <sortCondition ref="A54:A62"/>
  </sortState>
  <conditionalFormatting sqref="A11:A12">
    <cfRule type="containsBlanks" dxfId="123" priority="3036">
      <formula>LEN(TRIM(A11))=0</formula>
    </cfRule>
  </conditionalFormatting>
  <conditionalFormatting sqref="A13:A15">
    <cfRule type="expression" dxfId="117" priority="1" stopIfTrue="1">
      <formula>$C13="Calculation"</formula>
    </cfRule>
    <cfRule type="containsBlanks" dxfId="116" priority="2">
      <formula>LEN(TRIM(A13))=0</formula>
    </cfRule>
  </conditionalFormatting>
  <conditionalFormatting sqref="B65:B69">
    <cfRule type="containsBlanks" dxfId="110" priority="8">
      <formula>LEN(TRIM(B65))=0</formula>
    </cfRule>
  </conditionalFormatting>
  <conditionalFormatting sqref="C11:C15">
    <cfRule type="containsBlanks" dxfId="109" priority="35">
      <formula>LEN(TRIM(C11))=0</formula>
    </cfRule>
    <cfRule type="cellIs" dxfId="108" priority="36" operator="greaterThanOrEqual">
      <formula>1</formula>
    </cfRule>
    <cfRule type="cellIs" dxfId="107" priority="37" operator="greaterThanOrEqual">
      <formula>0.75</formula>
    </cfRule>
    <cfRule type="cellIs" dxfId="106" priority="38" operator="greaterThanOrEqual">
      <formula>0.5</formula>
    </cfRule>
    <cfRule type="cellIs" dxfId="105" priority="39" operator="greaterThanOrEqual">
      <formula>0.25</formula>
    </cfRule>
    <cfRule type="cellIs" dxfId="104" priority="40" operator="greaterThanOrEqual">
      <formula>0</formula>
    </cfRule>
  </conditionalFormatting>
  <conditionalFormatting sqref="E5:E6">
    <cfRule type="containsBlanks" dxfId="103" priority="9">
      <formula>LEN(TRIM(E5))=0</formula>
    </cfRule>
  </conditionalFormatting>
  <hyperlinks>
    <hyperlink ref="E2" location="Guidance!A52" display="Glossary" xr:uid="{00000000-0004-0000-0000-000000000000}"/>
  </hyperlinks>
  <pageMargins left="0.70866141732283472" right="0.70866141732283472" top="0.74803149606299213" bottom="0.74803149606299213" header="0.31496062992125984" footer="0.31496062992125984"/>
  <pageSetup paperSize="9" scale="53" orientation="portrait" horizontalDpi="4294967293" r:id="rId1"/>
  <drawing r:id="rId2"/>
  <extLst>
    <ext xmlns:x14="http://schemas.microsoft.com/office/spreadsheetml/2009/9/main" uri="{78C0D931-6437-407d-A8EE-F0AAD7539E65}">
      <x14:conditionalFormattings>
        <x14:conditionalFormatting xmlns:xm="http://schemas.microsoft.com/office/excel/2006/main">
          <x14:cfRule type="containsText" priority="3037" operator="containsText" id="{6C4C7DC5-3095-4A66-9675-A4901622F02F}">
            <xm:f>NOT(ISERROR(SEARCH(#REF!,A11)))</xm:f>
            <xm:f>#REF!</xm:f>
            <x14:dxf>
              <fill>
                <patternFill>
                  <bgColor rgb="FFFFC000"/>
                </patternFill>
              </fill>
            </x14:dxf>
          </x14:cfRule>
          <x14:cfRule type="containsText" priority="3038" operator="containsText" id="{7CDE3E20-2DB4-4DD8-8C21-6BD71FF74EB6}">
            <xm:f>NOT(ISERROR(SEARCH(#REF!,A11)))</xm:f>
            <xm:f>#REF!</xm:f>
            <x14:dxf>
              <fill>
                <patternFill>
                  <bgColor rgb="FFFFFF00"/>
                </patternFill>
              </fill>
            </x14:dxf>
          </x14:cfRule>
          <x14:cfRule type="containsText" priority="3039" operator="containsText" id="{384B0504-8F7E-48ED-8D42-0256CA406C1E}">
            <xm:f>NOT(ISERROR(SEARCH(#REF!,A11)))</xm:f>
            <xm:f>#REF!</xm:f>
            <x14:dxf>
              <fill>
                <patternFill>
                  <bgColor rgb="FFFF0000"/>
                </patternFill>
              </fill>
            </x14:dxf>
          </x14:cfRule>
          <x14:cfRule type="containsText" priority="3040" operator="containsText" id="{BD6E6ABB-02D5-46DC-BC10-017A02CA4F7A}">
            <xm:f>NOT(ISERROR(SEARCH(#REF!,A11)))</xm:f>
            <xm:f>#REF!</xm:f>
            <x14:dxf>
              <fill>
                <patternFill>
                  <bgColor rgb="FF92D050"/>
                </patternFill>
              </fill>
            </x14:dxf>
          </x14:cfRule>
          <x14:cfRule type="containsText" priority="3041" operator="containsText" id="{5B4E7106-1EB6-4FD7-BC89-A697F9453A9B}">
            <xm:f>NOT(ISERROR(SEARCH(#REF!,A11)))</xm:f>
            <xm:f>#REF!</xm:f>
            <x14:dxf>
              <fill>
                <patternFill>
                  <bgColor rgb="FF00B050"/>
                </patternFill>
              </fill>
            </x14:dxf>
          </x14:cfRule>
          <xm:sqref>A11:A12</xm:sqref>
        </x14:conditionalFormatting>
        <x14:conditionalFormatting xmlns:xm="http://schemas.microsoft.com/office/excel/2006/main">
          <x14:cfRule type="containsText" priority="3" operator="containsText" id="{3824FE4A-BD10-412A-B285-E4B061FC7CA7}">
            <xm:f>NOT(ISERROR(SEARCH($A$14,A13)))</xm:f>
            <xm:f>$A$14</xm:f>
            <x14:dxf>
              <fill>
                <patternFill>
                  <bgColor rgb="FFFFC000"/>
                </patternFill>
              </fill>
            </x14:dxf>
          </x14:cfRule>
          <x14:cfRule type="containsText" priority="4" operator="containsText" id="{49E05C1F-A788-440E-8E40-D32993C0D7FE}">
            <xm:f>NOT(ISERROR(SEARCH($A$13,A13)))</xm:f>
            <xm:f>$A$13</xm:f>
            <x14:dxf>
              <fill>
                <patternFill>
                  <bgColor rgb="FFFFFF00"/>
                </patternFill>
              </fill>
            </x14:dxf>
          </x14:cfRule>
          <x14:cfRule type="containsText" priority="5" operator="containsText" id="{DCC5BB3F-2097-45BA-BA00-9C19B5836312}">
            <xm:f>NOT(ISERROR(SEARCH($A$15,A13)))</xm:f>
            <xm:f>$A$15</xm:f>
            <x14:dxf>
              <fill>
                <patternFill>
                  <bgColor rgb="FFFF0000"/>
                </patternFill>
              </fill>
            </x14:dxf>
          </x14:cfRule>
          <x14:cfRule type="containsText" priority="6" operator="containsText" id="{C9A6AD11-8A27-487D-80A4-BB29CA81C642}">
            <xm:f>NOT(ISERROR(SEARCH($A$12,A13)))</xm:f>
            <xm:f>$A$12</xm:f>
            <x14:dxf>
              <fill>
                <patternFill>
                  <bgColor rgb="FF92D050"/>
                </patternFill>
              </fill>
            </x14:dxf>
          </x14:cfRule>
          <x14:cfRule type="containsText" priority="7" operator="containsText" id="{0E8F4AC5-FA25-4AA9-B189-AF154B5C3F95}">
            <xm:f>NOT(ISERROR(SEARCH($A$11,A13)))</xm:f>
            <xm:f>$A$11</xm:f>
            <x14:dxf>
              <fill>
                <patternFill>
                  <bgColor rgb="FF00B050"/>
                </patternFill>
              </fill>
            </x14:dxf>
          </x14:cfRule>
          <xm:sqref>A13:A15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D77"/>
  <sheetViews>
    <sheetView showGridLines="0" workbookViewId="0">
      <selection activeCell="C15" sqref="C15"/>
    </sheetView>
  </sheetViews>
  <sheetFormatPr baseColWidth="10" defaultColWidth="8.83203125" defaultRowHeight="16" x14ac:dyDescent="0.2"/>
  <cols>
    <col min="1" max="1" width="27.6640625" style="2" customWidth="1"/>
    <col min="2" max="2" width="8.6640625" style="60"/>
    <col min="3" max="3" width="102.1640625" style="2" customWidth="1"/>
    <col min="4" max="4" width="16.1640625" style="42" customWidth="1"/>
  </cols>
  <sheetData>
    <row r="1" spans="1:4" ht="20" x14ac:dyDescent="0.25">
      <c r="A1" s="45" t="s">
        <v>7</v>
      </c>
      <c r="B1" s="45" t="s">
        <v>326</v>
      </c>
    </row>
    <row r="2" spans="1:4" ht="17" x14ac:dyDescent="0.2">
      <c r="A2" s="44" t="s">
        <v>75</v>
      </c>
      <c r="B2" s="55" t="s">
        <v>76</v>
      </c>
      <c r="C2" s="44" t="s">
        <v>186</v>
      </c>
      <c r="D2" s="44" t="s">
        <v>325</v>
      </c>
    </row>
    <row r="3" spans="1:4" ht="50" customHeight="1" x14ac:dyDescent="0.2">
      <c r="A3" s="50" t="s">
        <v>179</v>
      </c>
      <c r="B3" s="68" t="s">
        <v>90</v>
      </c>
      <c r="C3" s="50" t="str">
        <f>VLOOKUP(B3,tblDistrict_1[[Code]:[Description]],2,0)</f>
        <v>Index Indicator climate: WASH services are able to be delivered to populations and adapt when needed, during and after experiences of climate-induced hazards; and in turn, enable resilience among populations to the effects of climate change.</v>
      </c>
      <c r="D3" s="50"/>
    </row>
    <row r="4" spans="1:4" ht="50" customHeight="1" x14ac:dyDescent="0.2">
      <c r="A4" s="50" t="s">
        <v>181</v>
      </c>
      <c r="B4" s="68" t="s">
        <v>94</v>
      </c>
      <c r="C4" s="50" t="str">
        <f>VLOOKUP(B4,tblDistrict_1[[Code]:[Description]],2,0)</f>
        <v>Index Indicator Capacity: The service authority (e.g. ministry), service providers, and regulator have capacity to plan and implement service system improvements based on data (indexed Index Indicator)</v>
      </c>
      <c r="D4" s="50"/>
    </row>
    <row r="5" spans="1:4" ht="50" customHeight="1" x14ac:dyDescent="0.2">
      <c r="A5" s="50" t="s">
        <v>183</v>
      </c>
      <c r="B5" s="68" t="s">
        <v>97</v>
      </c>
      <c r="C5" s="50" t="str">
        <f>VLOOKUP(B5,tblDistrict_1[[Code]:[Description]],2,0)</f>
        <v xml:space="preserve">Index Indicator GESI: The vulnerable households/groups /communities/people with disabilities are identified and acknowledged for support by government to ensure safe and sustainable services, and services are specifically adapted and sustainable extended to meet the needs of these populations. </v>
      </c>
      <c r="D5" s="50"/>
    </row>
    <row r="6" spans="1:4" ht="17" x14ac:dyDescent="0.2">
      <c r="A6" s="48" t="s">
        <v>87</v>
      </c>
      <c r="B6" s="56">
        <v>1</v>
      </c>
      <c r="C6" s="48" t="str">
        <f>VLOOKUP(B6,tblDistrict_1[[Code]:[Description]],2,0)</f>
        <v>Overall Finance</v>
      </c>
      <c r="D6" s="49"/>
    </row>
    <row r="7" spans="1:4" ht="50" customHeight="1" x14ac:dyDescent="0.2">
      <c r="A7" s="43" t="s">
        <v>87</v>
      </c>
      <c r="B7" s="57">
        <v>1.1000000000000001</v>
      </c>
      <c r="C7" s="43" t="str">
        <f>VLOOKUP(B7,tblDistrict_1[[Code]:[Description]],2,0)</f>
        <v>The nationally defined mechanisms for covering expenditure on the different cost categories (capital expenditure (hardware and software), capital maintenance expenditure, operational and minor maintenance expenditure, direct and indirect support and caital costs) are known, in place and applied at district level</v>
      </c>
      <c r="D7" s="41"/>
    </row>
    <row r="8" spans="1:4" ht="50" customHeight="1" x14ac:dyDescent="0.2">
      <c r="A8" s="43" t="s">
        <v>87</v>
      </c>
      <c r="B8" s="57">
        <v>1.2</v>
      </c>
      <c r="C8" s="43" t="str">
        <f>VLOOKUP(B8,tblDistrict_1[[Code]:[Description]],2,0)</f>
        <v xml:space="preserve">There is adequate funding in the district to enable implementation of plans according to schedule. </v>
      </c>
      <c r="D8" s="41"/>
    </row>
    <row r="9" spans="1:4" ht="62.75" customHeight="1" x14ac:dyDescent="0.2">
      <c r="A9" s="43" t="s">
        <v>87</v>
      </c>
      <c r="B9" s="57">
        <v>1.3</v>
      </c>
      <c r="C9" s="43" t="str">
        <f>VLOOKUP(B9,tblDistrict_1[[Code]:[Description]],2,0)</f>
        <v xml:space="preserve">The district has a clear funding strategy for addressing the funding gaps. </v>
      </c>
      <c r="D9" s="41"/>
    </row>
    <row r="10" spans="1:4" ht="50" customHeight="1" x14ac:dyDescent="0.2">
      <c r="A10" s="43" t="s">
        <v>87</v>
      </c>
      <c r="B10" s="57">
        <v>1.4</v>
      </c>
      <c r="C10" s="43" t="str">
        <f>VLOOKUP(B10,tblDistrict_1[[Code]:[Description]],2,0)</f>
        <v>There is sufficient absorption capacity for and a manageable gap between budget and disbursements to follow planning of  asset development.</v>
      </c>
      <c r="D10" s="41"/>
    </row>
    <row r="11" spans="1:4" ht="62.75" customHeight="1" x14ac:dyDescent="0.2">
      <c r="A11" s="43" t="s">
        <v>87</v>
      </c>
      <c r="B11" s="57">
        <v>1.5</v>
      </c>
      <c r="C11" s="43" t="str">
        <f>VLOOKUP(B11,tblDistrict_1[[Code]:[Description]],2,0)</f>
        <v>There are measures to prioritise WASH water supply in local level planning (earmarked budget).</v>
      </c>
      <c r="D11" s="41"/>
    </row>
    <row r="12" spans="1:4" ht="62.75" customHeight="1" x14ac:dyDescent="0.2">
      <c r="A12" s="43" t="s">
        <v>87</v>
      </c>
      <c r="B12" s="57">
        <v>1.6</v>
      </c>
      <c r="C12" s="43" t="str">
        <f>VLOOKUP(B12,tblDistrict_1[[Code]:[Description]],2,0)</f>
        <v>The nationally defined considerations and subsidy mechanisms (block tariffs, cross subsidies between providers or other) are applied.These include provisions (e.g. subsidies) for marginalized communities who are poor/unable to afford connection charges/tariffs/etc.</v>
      </c>
      <c r="D12" s="41"/>
    </row>
    <row r="13" spans="1:4" ht="62.75" customHeight="1" x14ac:dyDescent="0.2">
      <c r="A13" s="43" t="s">
        <v>87</v>
      </c>
      <c r="B13" s="57">
        <v>1.7</v>
      </c>
      <c r="C13" s="43" t="str">
        <f>VLOOKUP(B13,tblDistrict_1[[Code]:[Description]],2,0)</f>
        <v xml:space="preserve">There is a comprehensive assessment of the cost of climate adaptation in the WASH sector under different scenarios, for example for prolonged droughts and more frequent floods. The funding gaps are estimated. </v>
      </c>
      <c r="D13" s="41"/>
    </row>
    <row r="14" spans="1:4" ht="17" x14ac:dyDescent="0.2">
      <c r="A14" s="48" t="s">
        <v>102</v>
      </c>
      <c r="B14" s="56">
        <v>2</v>
      </c>
      <c r="C14" s="48" t="str">
        <f>VLOOKUP(B14,tblDistrict_1[[Code]:[Description]],2,0)</f>
        <v>Overall Infrastructure Development</v>
      </c>
      <c r="D14" s="49"/>
    </row>
    <row r="15" spans="1:4" ht="50" customHeight="1" x14ac:dyDescent="0.2">
      <c r="A15" s="43" t="s">
        <v>102</v>
      </c>
      <c r="B15" s="57">
        <v>2.1</v>
      </c>
      <c r="C15" s="43" t="str">
        <f>VLOOKUP(B15,tblDistrict_1[[Code]:[Description]],2,0)</f>
        <v>The project delivery models and procurement and implementation manuals and procedures for capital investments projects are known and  followed at district level.</v>
      </c>
      <c r="D15" s="41"/>
    </row>
    <row r="16" spans="1:4" ht="50" customHeight="1" x14ac:dyDescent="0.2">
      <c r="A16" s="43" t="s">
        <v>102</v>
      </c>
      <c r="B16" s="57">
        <v>2.2000000000000002</v>
      </c>
      <c r="C16" s="43" t="str">
        <f>VLOOKUP(B16,tblDistrict_1[[Code]:[Description]],2,0)</f>
        <v>The mechanisms and capacities for carrying out due diligence, regulation and control over procurement are in place and applied at the district (local) level.</v>
      </c>
      <c r="D16" s="53"/>
    </row>
    <row r="17" spans="1:4" ht="50" customHeight="1" x14ac:dyDescent="0.2">
      <c r="A17" s="43" t="s">
        <v>102</v>
      </c>
      <c r="B17" s="57">
        <v>2.2999999999999998</v>
      </c>
      <c r="C17" s="43" t="str">
        <f>VLOOKUP(B17,tblDistrict_1[[Code]:[Description]],2,0)</f>
        <v xml:space="preserve">The guidelines for accessible facilities at the point of use for people with disabilities, old, pregnant women, etc, are understood and used at district level, and a known portion (%) of facilities are accessible in the district. </v>
      </c>
      <c r="D17" s="41"/>
    </row>
    <row r="18" spans="1:4" ht="50" customHeight="1" x14ac:dyDescent="0.2">
      <c r="A18" s="43" t="s">
        <v>102</v>
      </c>
      <c r="B18" s="57">
        <v>2.4</v>
      </c>
      <c r="C18" s="43" t="str">
        <f>VLOOKUP(B18,tblDistrict_1[[Code]:[Description]],2,0)</f>
        <v>Water and sanitation service delivery mechanisms are based on locally-led risk analysis that addresses climate change factors and  these mechanisms minimise population exposure to potential failure arising from climatic threats.</v>
      </c>
      <c r="D18" s="41"/>
    </row>
    <row r="19" spans="1:4" ht="50" hidden="1" customHeight="1" x14ac:dyDescent="0.2">
      <c r="A19" s="43" t="s">
        <v>102</v>
      </c>
      <c r="B19" s="57">
        <v>2.5</v>
      </c>
      <c r="C19" s="43" t="e">
        <f>VLOOKUP(B19,tblDistrict_1[[Code]:[Description]],2,0)</f>
        <v>#N/A</v>
      </c>
      <c r="D19" s="41"/>
    </row>
    <row r="20" spans="1:4" ht="50" hidden="1" customHeight="1" x14ac:dyDescent="0.2">
      <c r="A20" s="43" t="s">
        <v>102</v>
      </c>
      <c r="B20" s="57">
        <v>2.6</v>
      </c>
      <c r="C20" s="43" t="e">
        <f>VLOOKUP(B20,tblDistrict_1[[Code]:[Description]],2,0)</f>
        <v>#N/A</v>
      </c>
      <c r="D20" s="41"/>
    </row>
    <row r="21" spans="1:4" ht="17" x14ac:dyDescent="0.2">
      <c r="A21" s="48" t="s">
        <v>115</v>
      </c>
      <c r="B21" s="56">
        <v>3</v>
      </c>
      <c r="C21" s="48" t="str">
        <f>VLOOKUP(B21,tblDistrict_1[[Code]:[Description]],2,0)</f>
        <v>Overall infrastructure management</v>
      </c>
      <c r="D21" s="49"/>
    </row>
    <row r="22" spans="1:4" ht="50" customHeight="1" x14ac:dyDescent="0.2">
      <c r="A22" s="43" t="s">
        <v>115</v>
      </c>
      <c r="B22" s="57">
        <v>3.1</v>
      </c>
      <c r="C22" s="43" t="str">
        <f>VLOOKUP(B22,tblDistrict_1[[Code]:[Description]],2,0)</f>
        <v>Asset ownership is defined in detail between service authority and service provider(s) following the national legal framework.</v>
      </c>
      <c r="D22" s="41"/>
    </row>
    <row r="23" spans="1:4" ht="69" customHeight="1" x14ac:dyDescent="0.2">
      <c r="A23" s="43" t="s">
        <v>115</v>
      </c>
      <c r="B23" s="57">
        <v>3.2</v>
      </c>
      <c r="C23" s="43" t="str">
        <f>VLOOKUP(B23,tblDistrict_1[[Code]:[Description]],2,0)</f>
        <v>An up-to-date inventory exists of all (or most) public/utility infrastructure assets, including age and current physical state of assets for the focus district, and the inventory is accessable to stakeholders at district level. [Note: this may vary per service delivery model and/or service provider (e.g. utility has is but community managers not), please indicate this in the explanation of your score]</v>
      </c>
      <c r="D23" s="41"/>
    </row>
    <row r="24" spans="1:4" ht="50" customHeight="1" x14ac:dyDescent="0.2">
      <c r="A24" s="43" t="s">
        <v>115</v>
      </c>
      <c r="B24" s="57">
        <v>3.3</v>
      </c>
      <c r="C24" s="43" t="str">
        <f>VLOOKUP(B24,tblDistrict_1[[Code]:[Description]],2,0)</f>
        <v>Roles and responsibilities related to asset management are clearly defined and known at district level, and service authority is fulfilling its role accordingly.</v>
      </c>
      <c r="D24" s="41"/>
    </row>
    <row r="25" spans="1:4" ht="50" customHeight="1" x14ac:dyDescent="0.2">
      <c r="A25" s="43" t="s">
        <v>115</v>
      </c>
      <c r="B25" s="57">
        <v>3.4</v>
      </c>
      <c r="C25" s="43" t="str">
        <f>VLOOKUP(B25,tblDistrict_1[[Code]:[Description]],2,0)</f>
        <v>The service authorities ensures that technical and/or financial support is available to service providers.</v>
      </c>
      <c r="D25" s="41"/>
    </row>
    <row r="26" spans="1:4" ht="17" x14ac:dyDescent="0.2">
      <c r="A26" s="48" t="s">
        <v>106</v>
      </c>
      <c r="B26" s="56">
        <v>4</v>
      </c>
      <c r="C26" s="48" t="str">
        <f>VLOOKUP(B26,tblDistrict_1[[Code]:[Description]],2,0)</f>
        <v>Overall Institution building block</v>
      </c>
      <c r="D26" s="49"/>
    </row>
    <row r="27" spans="1:4" ht="50" customHeight="1" x14ac:dyDescent="0.2">
      <c r="A27" s="43" t="s">
        <v>106</v>
      </c>
      <c r="B27" s="57">
        <v>4.0999999999999996</v>
      </c>
      <c r="C27" s="43" t="str">
        <f>VLOOKUP(B27,tblDistrict_1[[Code]:[Description]],2,0)</f>
        <v xml:space="preserve">The required institutional set-up for the different Service Delivery Models (in particular for the service authority and service provider roles) is in place. </v>
      </c>
      <c r="D27" s="53"/>
    </row>
    <row r="28" spans="1:4" ht="50" customHeight="1" x14ac:dyDescent="0.2">
      <c r="A28" s="43" t="s">
        <v>106</v>
      </c>
      <c r="B28" s="57">
        <v>4.2</v>
      </c>
      <c r="C28" s="43" t="str">
        <f>VLOOKUP(B28,tblDistrict_1[[Code]:[Description]],2,0)</f>
        <v>Service authorities and service providers have a formalised relationship for addressing accountability (contract, performance agreement and authorization).</v>
      </c>
      <c r="D28" s="41"/>
    </row>
    <row r="29" spans="1:4" ht="50" customHeight="1" x14ac:dyDescent="0.2">
      <c r="A29" s="43" t="s">
        <v>106</v>
      </c>
      <c r="B29" s="57">
        <v>4.3</v>
      </c>
      <c r="C29" s="43" t="str">
        <f>VLOOKUP(B29,tblDistrict_1[[Code]:[Description]],2,0)</f>
        <v xml:space="preserve">All the required staff positions of the service authority are filled. </v>
      </c>
      <c r="D29" s="41"/>
    </row>
    <row r="30" spans="1:4" ht="50" customHeight="1" x14ac:dyDescent="0.2">
      <c r="A30" s="43" t="s">
        <v>106</v>
      </c>
      <c r="B30" s="57">
        <v>4.4000000000000004</v>
      </c>
      <c r="C30" s="43" t="str">
        <f>VLOOKUP(B30,tblDistrict_1[[Code]:[Description]],2,0)</f>
        <v>The service authority receives regular back-up or support from higher levels of government.</v>
      </c>
      <c r="D30" s="41"/>
    </row>
    <row r="31" spans="1:4" ht="50" customHeight="1" x14ac:dyDescent="0.2">
      <c r="A31" s="43" t="s">
        <v>106</v>
      </c>
      <c r="B31" s="57">
        <v>4.5</v>
      </c>
      <c r="C31" s="43" t="str">
        <f>VLOOKUP(B31,tblDistrict_1[[Code]:[Description]],2,0)</f>
        <v xml:space="preserve">District WASH stakeholders have access to and make use of capacity building institutions, mechanisms and platforms and, resulting in adequate capacity for undertaking roles and responsibilities.  </v>
      </c>
      <c r="D31" s="41"/>
    </row>
    <row r="32" spans="1:4" ht="50" customHeight="1" x14ac:dyDescent="0.2">
      <c r="A32" s="43" t="s">
        <v>106</v>
      </c>
      <c r="B32" s="57">
        <v>4.5999999999999996</v>
      </c>
      <c r="C32" s="43" t="str">
        <f>VLOOKUP(B32,tblDistrict_1[[Code]:[Description]],2,0)</f>
        <v>Adequate and functional relationships and district-level coordination mechanisms exist among institutions at decentralised level</v>
      </c>
      <c r="D32" s="41"/>
    </row>
    <row r="33" spans="1:4" ht="17" x14ac:dyDescent="0.2">
      <c r="A33" s="48" t="s">
        <v>135</v>
      </c>
      <c r="B33" s="56">
        <v>5</v>
      </c>
      <c r="C33" s="48" t="str">
        <f>VLOOKUP(B33,tblDistrict_1[[Code]:[Description]],2,0)</f>
        <v>Overall Learning and adaptation</v>
      </c>
      <c r="D33" s="49"/>
    </row>
    <row r="34" spans="1:4" ht="50" customHeight="1" x14ac:dyDescent="0.2">
      <c r="A34" s="43" t="s">
        <v>135</v>
      </c>
      <c r="B34" s="57">
        <v>5.0999999999999996</v>
      </c>
      <c r="C34" s="43" t="str">
        <f>VLOOKUP(B34,tblDistrict_1[[Code]:[Description]],2,0)</f>
        <v xml:space="preserve">There are institutionalised learning platforms that district level stakeholders participate in  (district stakeholder platform, thematic working groups, resource centres, national or provintial platforms that include district staff). </v>
      </c>
      <c r="D34" s="53"/>
    </row>
    <row r="35" spans="1:4" ht="50" customHeight="1" x14ac:dyDescent="0.2">
      <c r="A35" s="43" t="s">
        <v>135</v>
      </c>
      <c r="B35" s="57">
        <v>5.2</v>
      </c>
      <c r="C35" s="43" t="str">
        <f>VLOOKUP(B35,tblDistrict_1[[Code]:[Description]],2,0)</f>
        <v>These district learning mechanisms are linked to the national level.</v>
      </c>
      <c r="D35" s="41"/>
    </row>
    <row r="36" spans="1:4" ht="50" customHeight="1" x14ac:dyDescent="0.2">
      <c r="A36" s="43" t="s">
        <v>135</v>
      </c>
      <c r="B36" s="57">
        <v>5.3</v>
      </c>
      <c r="C36" s="43" t="str">
        <f>VLOOKUP(B36,tblDistrict_1[[Code]:[Description]],2,0)</f>
        <v xml:space="preserve">The reflections from these platforms are documented and shared, and these are systematically taken up in policies, strategies, and practice. </v>
      </c>
      <c r="D36" s="41"/>
    </row>
    <row r="37" spans="1:4" ht="50" customHeight="1" x14ac:dyDescent="0.2">
      <c r="A37" s="43" t="s">
        <v>135</v>
      </c>
      <c r="B37" s="57">
        <v>5.4</v>
      </c>
      <c r="C37" s="43" t="str">
        <f>VLOOKUP(B37,tblDistrict_1[[Code]:[Description]],2,0)</f>
        <v>The institutions working with WASH are actively discussing, learning, and strategising about how to address issues of communities and people that are left behind to ensure WASH service delivery to all.</v>
      </c>
      <c r="D37" s="41"/>
    </row>
    <row r="38" spans="1:4" ht="50" customHeight="1" x14ac:dyDescent="0.2">
      <c r="A38" s="43" t="s">
        <v>135</v>
      </c>
      <c r="B38" s="57">
        <v>5.5</v>
      </c>
      <c r="C38" s="43" t="str">
        <f>VLOOKUP(B38,tblDistrict_1[[Code]:[Description]],2,0)</f>
        <v>The platforms are sufficiently representative of the different sector stakeholders, including epresentatives of groups/organizations working on rights of women, people with disabilities and marginalized communities.</v>
      </c>
      <c r="D38" s="41"/>
    </row>
    <row r="39" spans="1:4" ht="50" customHeight="1" x14ac:dyDescent="0.2">
      <c r="A39" s="43" t="s">
        <v>135</v>
      </c>
      <c r="B39" s="57">
        <v>5.6</v>
      </c>
      <c r="C39" s="43" t="str">
        <f>VLOOKUP(B39,tblDistrict_1[[Code]:[Description]],2,0)</f>
        <v>The institutions working with WASH are actively discussing, learning, and strategising about how to integrate climate change risk reduction into WASH delivery and ongoing management.</v>
      </c>
      <c r="D39" s="41"/>
    </row>
    <row r="40" spans="1:4" ht="50" hidden="1" customHeight="1" x14ac:dyDescent="0.2">
      <c r="A40" s="43" t="s">
        <v>135</v>
      </c>
      <c r="B40" s="57">
        <v>5.7</v>
      </c>
      <c r="C40" s="43" t="e">
        <f>VLOOKUP(B40,tblDistrict_1[[Code]:[Description]],2,0)</f>
        <v>#N/A</v>
      </c>
      <c r="D40" s="41"/>
    </row>
    <row r="41" spans="1:4" ht="17" x14ac:dyDescent="0.2">
      <c r="A41" s="48" t="s">
        <v>110</v>
      </c>
      <c r="B41" s="56">
        <v>6</v>
      </c>
      <c r="C41" s="48" t="str">
        <f>VLOOKUP(B41,tblDistrict_1[[Code]:[Description]],2,0)</f>
        <v>Overall Monitoring</v>
      </c>
      <c r="D41" s="54"/>
    </row>
    <row r="42" spans="1:4" ht="50" customHeight="1" x14ac:dyDescent="0.2">
      <c r="A42" s="43" t="s">
        <v>110</v>
      </c>
      <c r="B42" s="57">
        <v>6.1</v>
      </c>
      <c r="C42" s="43" t="str">
        <f>VLOOKUP(B42,tblDistrict_1[[Code]:[Description]],2,0)</f>
        <v>The agreed national monitoring system(s) for the specific Service Delivery Models are in use in the district.</v>
      </c>
      <c r="D42" s="41"/>
    </row>
    <row r="43" spans="1:4" ht="50" customHeight="1" x14ac:dyDescent="0.2">
      <c r="A43" s="43" t="s">
        <v>110</v>
      </c>
      <c r="B43" s="57">
        <v>6.2</v>
      </c>
      <c r="C43" s="43" t="str">
        <f>VLOOKUP(B43,tblDistrict_1[[Code]:[Description]],2,0)</f>
        <v xml:space="preserve">The data from the monitoring system are analyzed and used at district level, e.g. for annual planning, investment planning, trends analysis, learning and adaptation, etc. </v>
      </c>
      <c r="D43" s="41"/>
    </row>
    <row r="44" spans="1:4" ht="50" customHeight="1" x14ac:dyDescent="0.2">
      <c r="A44" s="43" t="s">
        <v>110</v>
      </c>
      <c r="B44" s="57">
        <v>6.3</v>
      </c>
      <c r="C44" s="43" t="str">
        <f>VLOOKUP(B44,tblDistrict_1[[Code]:[Description]],2,0)</f>
        <v xml:space="preserve">The monitoring systems include both service delivery indicators (service level, insights into shit-flows through shit flow diagrams, service provider performance, service authority performance) and upstream systems strengthen (or sector performance) indicators. </v>
      </c>
      <c r="D44" s="41"/>
    </row>
    <row r="45" spans="1:4" ht="50" customHeight="1" x14ac:dyDescent="0.2">
      <c r="A45" s="43" t="s">
        <v>110</v>
      </c>
      <c r="B45" s="57">
        <v>6.4</v>
      </c>
      <c r="C45" s="43" t="str">
        <f>VLOOKUP(B45,tblDistrict_1[[Code]:[Description]],2,0)</f>
        <v>The total of monitoring systems in use cover the entire district (all communities, all service providers).</v>
      </c>
      <c r="D45" s="41"/>
    </row>
    <row r="46" spans="1:4" ht="50" customHeight="1" x14ac:dyDescent="0.2">
      <c r="A46" s="43" t="s">
        <v>110</v>
      </c>
      <c r="B46" s="57">
        <v>6.5</v>
      </c>
      <c r="C46" s="43" t="str">
        <f>VLOOKUP(B46,tblDistrict_1[[Code]:[Description]],2,0)</f>
        <v>The data in the monitoring system used at district level are regularly updated.</v>
      </c>
      <c r="D46" s="41"/>
    </row>
    <row r="47" spans="1:4" ht="50" customHeight="1" x14ac:dyDescent="0.2">
      <c r="A47" s="43" t="s">
        <v>110</v>
      </c>
      <c r="B47" s="57">
        <v>6.6</v>
      </c>
      <c r="C47" s="43" t="str">
        <f>VLOOKUP(B47,tblDistrict_1[[Code]:[Description]],2,0)</f>
        <v>The monitoring system captures disaggregated data (women, people with disabilities, marginalized communities)</v>
      </c>
      <c r="D47" s="41"/>
    </row>
    <row r="48" spans="1:4" ht="50" hidden="1" customHeight="1" x14ac:dyDescent="0.2">
      <c r="A48" s="43" t="s">
        <v>110</v>
      </c>
      <c r="B48" s="57">
        <v>6.7</v>
      </c>
      <c r="C48" s="43" t="str">
        <f>VLOOKUP(B48,tblDistrict_1[[Code]:[Description]],2,0)</f>
        <v xml:space="preserve">There is monitoring and documentation of priority climate hazards to water resources and water and sanitation infrastructure. There is a link between disaster reporting and climate adaptation planning. </v>
      </c>
      <c r="D48" s="41"/>
    </row>
    <row r="49" spans="1:4" ht="17" x14ac:dyDescent="0.2">
      <c r="A49" s="48" t="s">
        <v>112</v>
      </c>
      <c r="B49" s="56">
        <v>7</v>
      </c>
      <c r="C49" s="48" t="str">
        <f>VLOOKUP(B49,tblDistrict_1[[Code]:[Description]],2,0)</f>
        <v>Overall Planning</v>
      </c>
      <c r="D49" s="54"/>
    </row>
    <row r="50" spans="1:4" ht="50" customHeight="1" x14ac:dyDescent="0.2">
      <c r="A50" s="43" t="s">
        <v>112</v>
      </c>
      <c r="B50" s="57">
        <v>7.1</v>
      </c>
      <c r="C50" s="43" t="str">
        <f>VLOOKUP(B50,tblDistrict_1[[Code]:[Description]],2,0)</f>
        <v xml:space="preserve">There are multi-annual WASH plan at district level, with a clear, joint vision, with targets that link to national targets. </v>
      </c>
      <c r="D50" s="41"/>
    </row>
    <row r="51" spans="1:4" ht="50" customHeight="1" x14ac:dyDescent="0.2">
      <c r="A51" s="43" t="s">
        <v>112</v>
      </c>
      <c r="B51" s="57">
        <v>7.2</v>
      </c>
      <c r="C51" s="43" t="str">
        <f>VLOOKUP(B51,tblDistrict_1[[Code]:[Description]],2,0)</f>
        <v xml:space="preserve">These plans take into account both new infrastructure (capital investment) and needs to ensure sustainable service delivery (recurrent costs including capital maintenance expenditure), with a reasonable indication of the required expenditure and sources of funding and financing. </v>
      </c>
      <c r="D51" s="41"/>
    </row>
    <row r="52" spans="1:4" ht="50" customHeight="1" x14ac:dyDescent="0.2">
      <c r="A52" s="43" t="s">
        <v>112</v>
      </c>
      <c r="B52" s="57">
        <v>7.3</v>
      </c>
      <c r="C52" s="43" t="str">
        <f>VLOOKUP(B52,tblDistrict_1[[Code]:[Description]],2,0)</f>
        <v>A consultation process with key stakeholders for making the plan is in place, including relevant stakeholders at multiple levels (national authorities, traditional leaders, development partners, water resource management bodies, etc)</v>
      </c>
      <c r="D52" s="41"/>
    </row>
    <row r="53" spans="1:4" ht="50" customHeight="1" x14ac:dyDescent="0.2">
      <c r="A53" s="43" t="s">
        <v>112</v>
      </c>
      <c r="B53" s="57">
        <v>7.4</v>
      </c>
      <c r="C53" s="43" t="str">
        <f>VLOOKUP(B53,tblDistrict_1[[Code]:[Description]],2,0)</f>
        <v>The planning process includes participation of people from marginalized communities (at least 1/3 women) - includes people with disabilities.</v>
      </c>
      <c r="D53" s="41"/>
    </row>
    <row r="54" spans="1:4" ht="50" customHeight="1" x14ac:dyDescent="0.2">
      <c r="A54" s="43" t="s">
        <v>112</v>
      </c>
      <c r="B54" s="57">
        <v>7.5</v>
      </c>
      <c r="C54" s="43" t="str">
        <f>VLOOKUP(B54,tblDistrict_1[[Code]:[Description]],2,0)</f>
        <v>District level WASH plans take into account equity (access) issues.</v>
      </c>
      <c r="D54" s="41"/>
    </row>
    <row r="55" spans="1:4" ht="50" customHeight="1" x14ac:dyDescent="0.2">
      <c r="A55" s="43" t="s">
        <v>112</v>
      </c>
      <c r="B55" s="57">
        <v>7.6</v>
      </c>
      <c r="C55" s="43" t="str">
        <f>VLOOKUP(B55,tblDistrict_1[[Code]:[Description]],2,0)</f>
        <v>The plans incorporate an analysis of climate change risk and vulnerability.</v>
      </c>
      <c r="D55" s="41"/>
    </row>
    <row r="56" spans="1:4" ht="17" x14ac:dyDescent="0.2">
      <c r="A56" s="48" t="s">
        <v>157</v>
      </c>
      <c r="B56" s="58">
        <v>8</v>
      </c>
      <c r="C56" s="48" t="str">
        <f>VLOOKUP(B56,tblDistrict_1[[Code]:[Description]],2,0)</f>
        <v>Overal Policy and Legislation</v>
      </c>
      <c r="D56" s="54"/>
    </row>
    <row r="57" spans="1:4" ht="50" customHeight="1" x14ac:dyDescent="0.2">
      <c r="A57" s="43" t="s">
        <v>157</v>
      </c>
      <c r="B57" s="57">
        <v>8.1</v>
      </c>
      <c r="C57" s="43" t="str">
        <f>VLOOKUP(B57,tblDistrict_1[[Code]:[Description]],2,0)</f>
        <v>By-laws and ordinances for service delivery arrangements are in place.</v>
      </c>
      <c r="D57" s="41"/>
    </row>
    <row r="58" spans="1:4" ht="50" customHeight="1" x14ac:dyDescent="0.2">
      <c r="A58" s="43" t="s">
        <v>157</v>
      </c>
      <c r="B58" s="57">
        <v>8.1999999999999993</v>
      </c>
      <c r="C58" s="43" t="str">
        <f>VLOOKUP(B58,tblDistrict_1[[Code]:[Description]],2,0)</f>
        <v>National sector legislation, policies, norms and standards, and guidelines are known by local stakeholders.</v>
      </c>
      <c r="D58" s="41"/>
    </row>
    <row r="59" spans="1:4" ht="50" customHeight="1" x14ac:dyDescent="0.2">
      <c r="A59" s="43" t="s">
        <v>157</v>
      </c>
      <c r="B59" s="57">
        <v>8.3000000000000007</v>
      </c>
      <c r="C59" s="43" t="str">
        <f>VLOOKUP(B59,tblDistrict_1[[Code]:[Description]],2,0)</f>
        <v>The district level service authority are aware of the policy provisions to ensure no one is left behind, and support their implementation.</v>
      </c>
      <c r="D59" s="41"/>
    </row>
    <row r="60" spans="1:4" ht="50" hidden="1" customHeight="1" x14ac:dyDescent="0.2">
      <c r="A60" s="43" t="s">
        <v>157</v>
      </c>
      <c r="B60" s="57">
        <v>8.4</v>
      </c>
      <c r="C60" s="43" t="e">
        <f>VLOOKUP(B60,tblDistrict_1[[Code]:[Description]],2,0)</f>
        <v>#N/A</v>
      </c>
      <c r="D60" s="41"/>
    </row>
    <row r="61" spans="1:4" ht="50" hidden="1" customHeight="1" x14ac:dyDescent="0.2">
      <c r="A61" s="43" t="s">
        <v>157</v>
      </c>
      <c r="B61" s="57">
        <v>8.5</v>
      </c>
      <c r="C61" s="43" t="e">
        <f>VLOOKUP(B61,tblDistrict_1[[Code]:[Description]],2,0)</f>
        <v>#N/A</v>
      </c>
      <c r="D61" s="41"/>
    </row>
    <row r="62" spans="1:4" ht="50" hidden="1" customHeight="1" x14ac:dyDescent="0.2">
      <c r="A62" s="43" t="s">
        <v>157</v>
      </c>
      <c r="B62" s="57">
        <v>8.6</v>
      </c>
      <c r="C62" s="43" t="e">
        <f>VLOOKUP(B62,tblDistrict_1[[Code]:[Description]],2,0)</f>
        <v>#N/A</v>
      </c>
      <c r="D62" s="41"/>
    </row>
    <row r="63" spans="1:4" ht="50" hidden="1" customHeight="1" x14ac:dyDescent="0.2">
      <c r="A63" s="43" t="s">
        <v>157</v>
      </c>
      <c r="B63" s="57">
        <v>8.6999999999999993</v>
      </c>
      <c r="C63" s="43" t="e">
        <f>VLOOKUP(B63,tblDistrict_1[[Code]:[Description]],2,0)</f>
        <v>#N/A</v>
      </c>
      <c r="D63" s="41"/>
    </row>
    <row r="64" spans="1:4" ht="17" x14ac:dyDescent="0.2">
      <c r="A64" s="48" t="s">
        <v>165</v>
      </c>
      <c r="B64" s="58">
        <v>9</v>
      </c>
      <c r="C64" s="48" t="str">
        <f>VLOOKUP(B64,tblDistrict_1[[Code]:[Description]],2,0)</f>
        <v>Overall Regulation and accountability</v>
      </c>
      <c r="D64" s="54"/>
    </row>
    <row r="65" spans="1:4" ht="50" customHeight="1" x14ac:dyDescent="0.2">
      <c r="A65" s="43" t="s">
        <v>165</v>
      </c>
      <c r="B65" s="57">
        <v>9.1</v>
      </c>
      <c r="C65" s="43" t="str">
        <f>VLOOKUP(B65,tblDistrict_1[[Code]:[Description]],2,0)</f>
        <v xml:space="preserve">The entity equipped with regulatory functions undertakes (1) tariff regulations, (2) service provider performance regulation, (3) consumer protections, (4) water quality regulation. (5) environmental regulation, and applies effective enforcement (incentives, penalties)
</v>
      </c>
      <c r="D65" s="41"/>
    </row>
    <row r="66" spans="1:4" ht="50" customHeight="1" x14ac:dyDescent="0.2">
      <c r="A66" s="43" t="s">
        <v>165</v>
      </c>
      <c r="B66" s="57">
        <v>9.1999999999999993</v>
      </c>
      <c r="C66" s="43" t="str">
        <f>VLOOKUP(B66,tblDistrict_1[[Code]:[Description]],2,0)</f>
        <v>The entity equipped with regulatory functions uses monitoring data to guide performance management, and applies effective enforcement (incentives, penalties) in the four / five areas of regulation.</v>
      </c>
      <c r="D66" s="41"/>
    </row>
    <row r="67" spans="1:4" ht="50" customHeight="1" x14ac:dyDescent="0.2">
      <c r="A67" s="43" t="s">
        <v>165</v>
      </c>
      <c r="B67" s="57">
        <v>9.3000000000000007</v>
      </c>
      <c r="C67" s="43" t="str">
        <f>VLOOKUP(B67,tblDistrict_1[[Code]:[Description]],2,0)</f>
        <v xml:space="preserve">Mechanism and platforms for citizens and/or Civil Society Organisations  to be informed and to be consulted on service delivery issues and to hold service providers to account is in place. This includes involvement of women and people with disabilities. 
</v>
      </c>
      <c r="D67" s="41"/>
    </row>
    <row r="68" spans="1:4" ht="50" customHeight="1" x14ac:dyDescent="0.2">
      <c r="A68" s="43" t="s">
        <v>165</v>
      </c>
      <c r="B68" s="57">
        <v>9.4</v>
      </c>
      <c r="C68" s="43" t="str">
        <f>VLOOKUP(B68,tblDistrict_1[[Code]:[Description]],2,0)</f>
        <v>There governmental mechanisms to monitor progress towards climate change adaptation national targets related to the water and sanitation (e.g. NDCs; NAP) and the district aware of these commitments.</v>
      </c>
      <c r="D68" s="41"/>
    </row>
    <row r="69" spans="1:4" ht="50" hidden="1" customHeight="1" x14ac:dyDescent="0.2">
      <c r="A69" s="43" t="s">
        <v>165</v>
      </c>
      <c r="B69" s="57">
        <v>9.5</v>
      </c>
      <c r="C69" s="43" t="e">
        <f>VLOOKUP(B69,tblDistrict_1[[Code]:[Description]],2,0)</f>
        <v>#N/A</v>
      </c>
      <c r="D69" s="41"/>
    </row>
    <row r="70" spans="1:4" ht="50" hidden="1" customHeight="1" x14ac:dyDescent="0.2">
      <c r="A70" s="43" t="s">
        <v>165</v>
      </c>
      <c r="B70" s="59">
        <v>9.6</v>
      </c>
      <c r="C70" s="43" t="e">
        <f>VLOOKUP(B70,tblDistrict_1[[Code]:[Description]],2,0)</f>
        <v>#N/A</v>
      </c>
      <c r="D70" s="53"/>
    </row>
    <row r="71" spans="1:4" ht="17" x14ac:dyDescent="0.2">
      <c r="A71" s="48" t="s">
        <v>172</v>
      </c>
      <c r="B71" s="56">
        <v>10</v>
      </c>
      <c r="C71" s="48" t="str">
        <f>VLOOKUP(B71,tblDistrict_1[[Code]:[Description]],2,0)</f>
        <v>Overall  Water Resource Management</v>
      </c>
      <c r="D71" s="49"/>
    </row>
    <row r="72" spans="1:4" ht="50" customHeight="1" x14ac:dyDescent="0.2">
      <c r="A72" s="43" t="s">
        <v>172</v>
      </c>
      <c r="B72" s="57">
        <v>10.1</v>
      </c>
      <c r="C72" s="43" t="str">
        <f>VLOOKUP(B72,tblDistrict_1[[Code]:[Description]],2,0)</f>
        <v>Service providers in the district plan for and carry out source protection and preservation activities such as water safety and water security plans.</v>
      </c>
      <c r="D72" s="41"/>
    </row>
    <row r="73" spans="1:4" ht="50" customHeight="1" x14ac:dyDescent="0.2">
      <c r="A73" s="43" t="s">
        <v>172</v>
      </c>
      <c r="B73" s="57">
        <v>10.199999999999999</v>
      </c>
      <c r="C73" s="43" t="str">
        <f>VLOOKUP(B73,tblDistrict_1[[Code]:[Description]],2,0)</f>
        <v>Service providers and/or the service authority are able to engage with water resource management decision making at catchment or basin level.</v>
      </c>
      <c r="D73" s="41"/>
    </row>
    <row r="74" spans="1:4" ht="50" customHeight="1" x14ac:dyDescent="0.2">
      <c r="A74" s="43" t="s">
        <v>172</v>
      </c>
      <c r="B74" s="57">
        <v>10.3</v>
      </c>
      <c r="C74" s="43" t="str">
        <f>VLOOKUP(B74,tblDistrict_1[[Code]:[Description]],2,0)</f>
        <v>Water Resource Management instruments such as abstraction permits, abstraction fees and disposal license are applied.</v>
      </c>
      <c r="D74" s="41"/>
    </row>
    <row r="75" spans="1:4" ht="50" customHeight="1" x14ac:dyDescent="0.2">
      <c r="A75" s="43" t="s">
        <v>172</v>
      </c>
      <c r="B75" s="57">
        <v>10.4</v>
      </c>
      <c r="C75" s="43" t="str">
        <f>VLOOKUP(B75,tblDistrict_1[[Code]:[Description]],2,0)</f>
        <v>There are mechanisms in place for managing any conflicts or rather synergies between users of water for drinking and other uses (such as agriculture and livestock) that minimise the effect of the performance of schemes (such as Multiple Use Systems).</v>
      </c>
      <c r="D75" s="41"/>
    </row>
    <row r="76" spans="1:4" ht="50" customHeight="1" x14ac:dyDescent="0.2">
      <c r="A76" s="43" t="s">
        <v>172</v>
      </c>
      <c r="B76" s="57">
        <v>10.5</v>
      </c>
      <c r="C76" s="43" t="str">
        <f>VLOOKUP(B76,tblDistrict_1[[Code]:[Description]],2,0)</f>
        <v xml:space="preserve">The local platforms for water resources include representatives of relavent groups - women's groups, farmers, communities marginalized, people with disabilities who are dependent on water for domestic and livelihood purposes, etc. to ensure needs are considered  </v>
      </c>
      <c r="D76" s="41"/>
    </row>
    <row r="77" spans="1:4" ht="59.75" customHeight="1" x14ac:dyDescent="0.2">
      <c r="A77" s="43" t="s">
        <v>172</v>
      </c>
      <c r="B77" s="57">
        <v>10.6</v>
      </c>
      <c r="C77" s="43" t="str">
        <f>VLOOKUP(B77,tblDistrict_1[[Code]:[Description]],2,0)</f>
        <v>Service providers and/or authorities develop and expand the water supply and sanitation infrastructure, taking into account water resource availability and variability, including vulnerability to extreme events, as well as impact on receiving water bodies.</v>
      </c>
      <c r="D77" s="41"/>
    </row>
  </sheetData>
  <sheetProtection algorithmName="SHA-512" hashValue="u0xwmlk9wiJNAUG0c21+MAf6fty3g5pmjySPB5usBKpjJD5u2J1vm2F5F9OUaPIypPLY8+IhPMZlkAodlz4b8g==" saltValue="B2ZAs2YEZcjKBugU/Nambw==" spinCount="100000" sheet="1" objects="1" scenarios="1" formatCells="0" formatColumns="0" formatRows="0" autoFilter="0"/>
  <autoFilter ref="A2:D74" xr:uid="{00000000-0009-0000-0000-00000D000000}"/>
  <pageMargins left="0.70866141732283472" right="0.70866141732283472" top="0.74803149606299213" bottom="0.74803149606299213" header="0.31496062992125984" footer="0.31496062992125984"/>
  <pageSetup paperSize="9" scale="52" fitToHeight="0" orientation="portrait" r:id="rId1"/>
  <headerFooter>
    <oddFooter xml:space="preserve">&amp;L&amp;F&amp;C&amp;A&amp;RPage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5D2B9-0E5D-4AF8-87AA-28A2C403C9A5}">
  <sheetPr>
    <tabColor theme="9" tint="-0.249977111117893"/>
    <pageSetUpPr fitToPage="1"/>
  </sheetPr>
  <dimension ref="A1:W92"/>
  <sheetViews>
    <sheetView showGridLines="0" zoomScale="70" zoomScaleNormal="70" workbookViewId="0">
      <pane xSplit="13" ySplit="5" topLeftCell="N126" activePane="bottomRight" state="frozen"/>
      <selection pane="topRight" activeCell="P1" sqref="P1"/>
      <selection pane="bottomLeft" activeCell="M35" sqref="M35"/>
      <selection pane="bottomRight" activeCell="N12" sqref="N12"/>
    </sheetView>
  </sheetViews>
  <sheetFormatPr baseColWidth="10" defaultColWidth="16.1640625" defaultRowHeight="16" x14ac:dyDescent="0.2"/>
  <cols>
    <col min="1" max="9" width="0" hidden="1" customWidth="1"/>
    <col min="10" max="10" width="16.1640625" style="3"/>
    <col min="11" max="11" width="16.1640625" style="2"/>
    <col min="12" max="12" width="34.6640625" style="1" customWidth="1"/>
    <col min="13" max="13" width="16.1640625" style="1"/>
    <col min="14" max="14" width="38.1640625" customWidth="1"/>
    <col min="15" max="15" width="34.1640625" style="1" customWidth="1"/>
    <col min="16" max="17" width="16.1640625" style="3"/>
    <col min="21" max="22" width="16.1640625" style="1"/>
    <col min="23" max="23" width="16.1640625" style="3"/>
  </cols>
  <sheetData>
    <row r="1" spans="1:23" ht="19" x14ac:dyDescent="0.2">
      <c r="A1" s="24"/>
      <c r="B1" s="24"/>
      <c r="C1" s="24"/>
      <c r="D1" s="25"/>
      <c r="E1" s="26"/>
      <c r="F1" s="26"/>
      <c r="G1" s="26"/>
      <c r="H1" s="24"/>
      <c r="I1" s="24"/>
      <c r="J1" s="24"/>
      <c r="K1" s="27" t="s">
        <v>61</v>
      </c>
      <c r="L1" s="24"/>
      <c r="M1" s="47"/>
      <c r="N1" s="52" t="s">
        <v>62</v>
      </c>
      <c r="O1" s="86" t="str">
        <f>IF(Guidance!E5="","fill in name of country/state in guidance sheet",Guidance!E5)</f>
        <v>fill in name of country/state in guidance sheet</v>
      </c>
      <c r="P1" s="29"/>
      <c r="Q1" s="29"/>
      <c r="R1" s="25"/>
      <c r="S1" s="25"/>
      <c r="T1" s="24"/>
      <c r="U1" s="24"/>
      <c r="V1" s="29"/>
      <c r="W1" s="25"/>
    </row>
    <row r="2" spans="1:23" ht="30" customHeight="1" x14ac:dyDescent="0.2">
      <c r="A2" s="25"/>
      <c r="B2" s="24"/>
      <c r="C2" s="24"/>
      <c r="D2" s="25"/>
      <c r="E2" s="26"/>
      <c r="F2" s="26"/>
      <c r="G2" s="26"/>
      <c r="H2" s="24"/>
      <c r="I2" s="24"/>
      <c r="J2" s="24"/>
      <c r="K2" s="24" t="s">
        <v>3</v>
      </c>
      <c r="L2" s="24"/>
      <c r="M2" s="47"/>
      <c r="N2" s="52" t="s">
        <v>63</v>
      </c>
      <c r="O2" s="52" t="s">
        <v>54</v>
      </c>
      <c r="P2" s="29"/>
      <c r="Q2" s="29"/>
      <c r="R2" s="25"/>
      <c r="S2" s="25"/>
      <c r="T2" s="24"/>
      <c r="U2" s="24"/>
      <c r="V2" s="29"/>
      <c r="W2" s="25"/>
    </row>
    <row r="3" spans="1:23" s="89" customFormat="1" ht="13.5" customHeight="1" x14ac:dyDescent="0.2">
      <c r="B3" s="140"/>
      <c r="C3" s="140"/>
      <c r="E3" s="141"/>
      <c r="F3" s="141"/>
      <c r="G3" s="141"/>
      <c r="H3" s="140"/>
      <c r="I3" s="140"/>
      <c r="J3" s="140"/>
      <c r="K3" s="140"/>
      <c r="L3" s="140"/>
      <c r="M3" s="142"/>
      <c r="N3" s="143"/>
      <c r="O3" s="144"/>
      <c r="P3" s="144"/>
      <c r="Q3" s="144"/>
      <c r="T3" s="140"/>
      <c r="U3" s="140"/>
      <c r="V3" s="144"/>
    </row>
    <row r="4" spans="1:23" ht="26.5" customHeight="1" x14ac:dyDescent="0.2">
      <c r="A4" s="90" t="s">
        <v>64</v>
      </c>
      <c r="B4" s="90"/>
      <c r="C4" s="90"/>
      <c r="D4" s="90"/>
      <c r="E4" s="90"/>
      <c r="F4" s="90"/>
      <c r="G4" s="90"/>
      <c r="H4" s="90"/>
      <c r="I4" s="90"/>
      <c r="L4" s="159"/>
      <c r="M4" s="107" t="s">
        <v>65</v>
      </c>
      <c r="N4" s="107"/>
      <c r="O4" s="107"/>
      <c r="P4"/>
      <c r="Q4"/>
      <c r="T4" s="1"/>
      <c r="U4" s="104"/>
      <c r="V4" s="104" t="s">
        <v>66</v>
      </c>
      <c r="W4" s="105"/>
    </row>
    <row r="5" spans="1:23" ht="42" customHeight="1" x14ac:dyDescent="0.2">
      <c r="A5" s="13" t="s">
        <v>67</v>
      </c>
      <c r="B5" s="13" t="s">
        <v>8</v>
      </c>
      <c r="C5" s="13" t="s">
        <v>68</v>
      </c>
      <c r="D5" s="13" t="s">
        <v>69</v>
      </c>
      <c r="E5" s="13" t="s">
        <v>70</v>
      </c>
      <c r="F5" s="13" t="s">
        <v>71</v>
      </c>
      <c r="G5" s="13" t="s">
        <v>72</v>
      </c>
      <c r="H5" s="13" t="s">
        <v>73</v>
      </c>
      <c r="I5" s="14" t="s">
        <v>74</v>
      </c>
      <c r="J5" s="145" t="s">
        <v>75</v>
      </c>
      <c r="K5" s="145" t="s">
        <v>76</v>
      </c>
      <c r="L5" s="145" t="s">
        <v>77</v>
      </c>
      <c r="M5" s="145" t="s">
        <v>78</v>
      </c>
      <c r="N5" s="146" t="s">
        <v>79</v>
      </c>
      <c r="O5" s="147" t="s">
        <v>80</v>
      </c>
      <c r="P5" s="148" t="s">
        <v>81</v>
      </c>
      <c r="Q5" s="148" t="s">
        <v>82</v>
      </c>
      <c r="S5" s="97" t="s">
        <v>69</v>
      </c>
      <c r="T5" s="99" t="s">
        <v>83</v>
      </c>
      <c r="U5" s="100" t="s">
        <v>84</v>
      </c>
      <c r="V5" s="101" t="s">
        <v>75</v>
      </c>
      <c r="W5" s="30" t="s">
        <v>85</v>
      </c>
    </row>
    <row r="6" spans="1:23" ht="83.5" customHeight="1" x14ac:dyDescent="0.2">
      <c r="A6" s="12" t="str">
        <f t="shared" ref="A6:A37" si="0">IF($O$1="Fill in Name","National",$O$1)</f>
        <v>fill in name of country/state in guidance sheet</v>
      </c>
      <c r="B6" s="12">
        <f t="shared" ref="B6:B37" si="1">Year</f>
        <v>2026</v>
      </c>
      <c r="C6" s="12" t="s">
        <v>86</v>
      </c>
      <c r="D6" s="2" t="str">
        <f t="shared" ref="D6:D37" si="2">$O$2</f>
        <v>Water</v>
      </c>
      <c r="E6" s="12"/>
      <c r="F6" s="12"/>
      <c r="G6" s="12"/>
      <c r="H6" s="12">
        <v>1</v>
      </c>
      <c r="I6" s="11" t="str">
        <f>IF(tblNational_water[[#This Row],[Code]]&gt;9.99,LEFT(tblNational_water[[#This Row],[Code]],2),LEFT(tblNational_water[[#This Row],[Code]],1))</f>
        <v>1</v>
      </c>
      <c r="J6" s="131" t="s">
        <v>87</v>
      </c>
      <c r="K6" s="138">
        <v>1</v>
      </c>
      <c r="L6" s="132" t="s">
        <v>88</v>
      </c>
      <c r="M6" s="123"/>
      <c r="N6" s="126" t="s">
        <v>89</v>
      </c>
      <c r="O6" s="126"/>
      <c r="P6" s="124" t="str">
        <f>IFERROR(VLOOKUP(tblNational_water[[#This Row],[Rating]],Guidance!$A$11:$C$15,3,0),"")</f>
        <v/>
      </c>
      <c r="Q6"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6" s="97" t="str">
        <f>$O$2</f>
        <v>Water</v>
      </c>
      <c r="T6" s="98" t="str">
        <f t="shared" ref="T6:T18" si="3">$O$1</f>
        <v>fill in name of country/state in guidance sheet</v>
      </c>
      <c r="U6" s="82" t="s">
        <v>90</v>
      </c>
      <c r="V6" s="82" t="s">
        <v>91</v>
      </c>
      <c r="W6" s="103" t="str">
        <f>IFERROR(VLOOKUP(Results_water_national[[#This Row],[Indicator]],tblNational_water[[#All],[Code]:[Overall building block score]],7,0),"")</f>
        <v/>
      </c>
    </row>
    <row r="7" spans="1:23" ht="83.5" customHeight="1" x14ac:dyDescent="0.2">
      <c r="A7" s="12" t="str">
        <f t="shared" si="0"/>
        <v>fill in name of country/state in guidance sheet</v>
      </c>
      <c r="B7" s="12">
        <f t="shared" si="1"/>
        <v>2026</v>
      </c>
      <c r="C7" s="12" t="s">
        <v>92</v>
      </c>
      <c r="D7" s="2" t="str">
        <f t="shared" si="2"/>
        <v>Water</v>
      </c>
      <c r="E7" s="12"/>
      <c r="F7" s="12"/>
      <c r="G7" s="12"/>
      <c r="H7" s="12">
        <v>2</v>
      </c>
      <c r="I7" s="11" t="str">
        <f>IF(tblNational_water[[#This Row],[Code]]&gt;9.99,LEFT(tblNational_water[[#This Row],[Code]],2),LEFT(tblNational_water[[#This Row],[Code]],1))</f>
        <v>1</v>
      </c>
      <c r="J7" s="74" t="s">
        <v>87</v>
      </c>
      <c r="K7" s="76">
        <v>1.1000000000000001</v>
      </c>
      <c r="L7" s="77" t="s">
        <v>93</v>
      </c>
      <c r="M7" s="95"/>
      <c r="N7" s="111"/>
      <c r="O7" s="113"/>
      <c r="P7" s="127" t="str">
        <f>IFERROR(VLOOKUP(tblNational_water[[#This Row],[Rating]],Guidance!$A$11:$C$15,3,0),"")</f>
        <v/>
      </c>
      <c r="Q7" s="117"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7" s="97" t="str">
        <f t="shared" ref="S7:S18" si="4">$O$2</f>
        <v>Water</v>
      </c>
      <c r="T7" s="98" t="str">
        <f t="shared" si="3"/>
        <v>fill in name of country/state in guidance sheet</v>
      </c>
      <c r="U7" s="82" t="s">
        <v>94</v>
      </c>
      <c r="V7" s="82" t="s">
        <v>95</v>
      </c>
      <c r="W7" s="103" t="str">
        <f>IFERROR(VLOOKUP(Results_water_national[[#This Row],[Indicator]],tblNational_water[[#All],[Code]:[Overall building block score]],7,0),"")</f>
        <v/>
      </c>
    </row>
    <row r="8" spans="1:23" ht="83.5" customHeight="1" x14ac:dyDescent="0.2">
      <c r="A8" s="12" t="str">
        <f t="shared" si="0"/>
        <v>fill in name of country/state in guidance sheet</v>
      </c>
      <c r="B8" s="12">
        <f t="shared" si="1"/>
        <v>2026</v>
      </c>
      <c r="C8" s="12" t="s">
        <v>92</v>
      </c>
      <c r="D8" s="2" t="str">
        <f t="shared" si="2"/>
        <v>Water</v>
      </c>
      <c r="E8" s="12"/>
      <c r="F8" s="12"/>
      <c r="G8" s="12"/>
      <c r="H8" s="12">
        <v>3</v>
      </c>
      <c r="I8" s="11" t="str">
        <f>IF(tblNational_water[[#This Row],[Code]]&gt;9.99,LEFT(tblNational_water[[#This Row],[Code]],2),LEFT(tblNational_water[[#This Row],[Code]],1))</f>
        <v>1</v>
      </c>
      <c r="J8" s="74" t="s">
        <v>87</v>
      </c>
      <c r="K8" s="76">
        <v>1.2</v>
      </c>
      <c r="L8" s="77" t="s">
        <v>96</v>
      </c>
      <c r="M8" s="95"/>
      <c r="N8" s="111"/>
      <c r="O8" s="112"/>
      <c r="P8" s="118" t="str">
        <f>IFERROR(VLOOKUP(tblNational_water[[#This Row],[Rating]],Guidance!$A$11:$C$15,3,0),"")</f>
        <v/>
      </c>
      <c r="Q8"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8" s="97" t="str">
        <f t="shared" si="4"/>
        <v>Water</v>
      </c>
      <c r="T8" s="98" t="str">
        <f t="shared" si="3"/>
        <v>fill in name of country/state in guidance sheet</v>
      </c>
      <c r="U8" s="82" t="s">
        <v>97</v>
      </c>
      <c r="V8" s="82" t="s">
        <v>98</v>
      </c>
      <c r="W8" s="103" t="str">
        <f>IFERROR(VLOOKUP(Results_water_national[[#This Row],[Indicator]],tblNational_water[[#All],[Code]:[Overall building block score]],7,0),"")</f>
        <v/>
      </c>
    </row>
    <row r="9" spans="1:23" ht="83.5" customHeight="1" x14ac:dyDescent="0.2">
      <c r="A9" s="12" t="str">
        <f t="shared" si="0"/>
        <v>fill in name of country/state in guidance sheet</v>
      </c>
      <c r="B9" s="12">
        <f t="shared" si="1"/>
        <v>2026</v>
      </c>
      <c r="C9" s="12" t="s">
        <v>92</v>
      </c>
      <c r="D9" s="2" t="str">
        <f t="shared" si="2"/>
        <v>Water</v>
      </c>
      <c r="E9" s="12"/>
      <c r="F9" s="12"/>
      <c r="G9" s="12"/>
      <c r="H9" s="12">
        <v>4</v>
      </c>
      <c r="I9" s="11" t="str">
        <f>IF(tblNational_water[[#This Row],[Code]]&gt;9.99,LEFT(tblNational_water[[#This Row],[Code]],2),LEFT(tblNational_water[[#This Row],[Code]],1))</f>
        <v>1</v>
      </c>
      <c r="J9" s="75" t="s">
        <v>87</v>
      </c>
      <c r="K9" s="108">
        <v>1.3</v>
      </c>
      <c r="L9" s="77" t="s">
        <v>99</v>
      </c>
      <c r="M9" s="95"/>
      <c r="N9" s="111"/>
      <c r="O9" s="112"/>
      <c r="P9" s="118" t="str">
        <f>IFERROR(VLOOKUP(tblNational_water[[#This Row],[Rating]],Guidance!$A$11:$C$15,3,0),"")</f>
        <v/>
      </c>
      <c r="Q9"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9" s="97" t="str">
        <f t="shared" si="4"/>
        <v>Water</v>
      </c>
      <c r="T9" s="98" t="str">
        <f t="shared" si="3"/>
        <v>fill in name of country/state in guidance sheet</v>
      </c>
      <c r="U9" s="82">
        <v>1</v>
      </c>
      <c r="V9" s="82" t="s">
        <v>87</v>
      </c>
      <c r="W9" s="103" t="str">
        <f>IFERROR(VLOOKUP(Results_water_national[[#This Row],[Indicator]],tblNational_water[[#All],[Code]:[Overall building block score]],7,0),"")</f>
        <v/>
      </c>
    </row>
    <row r="10" spans="1:23" ht="83.5" customHeight="1" x14ac:dyDescent="0.2">
      <c r="A10" s="12" t="str">
        <f t="shared" si="0"/>
        <v>fill in name of country/state in guidance sheet</v>
      </c>
      <c r="B10" s="12">
        <f t="shared" si="1"/>
        <v>2026</v>
      </c>
      <c r="C10" s="12" t="s">
        <v>92</v>
      </c>
      <c r="D10" s="2" t="str">
        <f t="shared" si="2"/>
        <v>Water</v>
      </c>
      <c r="E10" s="12"/>
      <c r="F10" s="12"/>
      <c r="G10" s="12" t="s">
        <v>100</v>
      </c>
      <c r="H10" s="12">
        <v>5</v>
      </c>
      <c r="I10" s="11" t="str">
        <f>IF(tblNational_water[[#This Row],[Code]]&gt;9.99,LEFT(tblNational_water[[#This Row],[Code]],2),LEFT(tblNational_water[[#This Row],[Code]],1))</f>
        <v>1</v>
      </c>
      <c r="J10" s="74" t="s">
        <v>87</v>
      </c>
      <c r="K10" s="76">
        <v>1.4</v>
      </c>
      <c r="L10" s="80" t="s">
        <v>101</v>
      </c>
      <c r="M10" s="95"/>
      <c r="N10" s="73"/>
      <c r="O10" s="73"/>
      <c r="P10" s="118" t="str">
        <f>IFERROR(VLOOKUP(tblNational_water[[#This Row],[Rating]],Guidance!$A$11:$C$15,3,0),"")</f>
        <v/>
      </c>
      <c r="Q10"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10" s="97" t="str">
        <f t="shared" si="4"/>
        <v>Water</v>
      </c>
      <c r="T10" s="98" t="str">
        <f t="shared" si="3"/>
        <v>fill in name of country/state in guidance sheet</v>
      </c>
      <c r="U10" s="82">
        <v>2</v>
      </c>
      <c r="V10" s="82" t="s">
        <v>102</v>
      </c>
      <c r="W10" s="103" t="str">
        <f>IFERROR(VLOOKUP(Results_water_national[[#This Row],[Indicator]],tblNational_water[[#All],[Code]:[Overall building block score]],7,0),"")</f>
        <v/>
      </c>
    </row>
    <row r="11" spans="1:23" ht="83.5" customHeight="1" x14ac:dyDescent="0.2">
      <c r="A11" s="12" t="str">
        <f t="shared" si="0"/>
        <v>fill in name of country/state in guidance sheet</v>
      </c>
      <c r="B11" s="12">
        <f t="shared" si="1"/>
        <v>2026</v>
      </c>
      <c r="C11" s="12" t="s">
        <v>92</v>
      </c>
      <c r="D11" s="2" t="str">
        <f t="shared" si="2"/>
        <v>Water</v>
      </c>
      <c r="E11" s="12" t="s">
        <v>100</v>
      </c>
      <c r="F11" s="12"/>
      <c r="G11" s="12"/>
      <c r="H11" s="12">
        <v>6</v>
      </c>
      <c r="I11" s="11" t="str">
        <f>IF(tblNational_water[[#This Row],[Code]]&gt;9.99,LEFT(tblNational_water[[#This Row],[Code]],2),LEFT(tblNational_water[[#This Row],[Code]],1))</f>
        <v>1</v>
      </c>
      <c r="J11" s="74" t="s">
        <v>87</v>
      </c>
      <c r="K11" s="76">
        <v>1.5</v>
      </c>
      <c r="L11" s="110" t="s">
        <v>103</v>
      </c>
      <c r="M11" s="95"/>
      <c r="N11" s="73"/>
      <c r="O11" s="73"/>
      <c r="P11" s="120" t="str">
        <f>IFERROR(VLOOKUP(tblNational_water[[#This Row],[Rating]],Guidance!$A$11:$C$15,3,0),"")</f>
        <v/>
      </c>
      <c r="Q11" s="116"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11" s="97" t="str">
        <f t="shared" si="4"/>
        <v>Water</v>
      </c>
      <c r="T11" s="98" t="str">
        <f t="shared" si="3"/>
        <v>fill in name of country/state in guidance sheet</v>
      </c>
      <c r="U11" s="82">
        <v>3</v>
      </c>
      <c r="V11" s="82" t="s">
        <v>104</v>
      </c>
      <c r="W11" s="103" t="str">
        <f>IFERROR(VLOOKUP(Results_water_national[[#This Row],[Indicator]],tblNational_water[[#All],[Code]:[Overall building block score]],7,0),"")</f>
        <v/>
      </c>
    </row>
    <row r="12" spans="1:23" ht="83.5" customHeight="1" x14ac:dyDescent="0.2">
      <c r="A12" s="12" t="str">
        <f t="shared" si="0"/>
        <v>fill in name of country/state in guidance sheet</v>
      </c>
      <c r="B12" s="12">
        <f t="shared" si="1"/>
        <v>2026</v>
      </c>
      <c r="C12" s="12" t="s">
        <v>86</v>
      </c>
      <c r="D12" s="2" t="str">
        <f t="shared" si="2"/>
        <v>Water</v>
      </c>
      <c r="E12" s="12"/>
      <c r="F12" s="12"/>
      <c r="G12" s="12"/>
      <c r="H12" s="12">
        <v>7</v>
      </c>
      <c r="I12" s="11" t="str">
        <f>IF(tblNational_water[[#This Row],[Code]]&gt;9.99,LEFT(tblNational_water[[#This Row],[Code]],2),LEFT(tblNational_water[[#This Row],[Code]],1))</f>
        <v>2</v>
      </c>
      <c r="J12" s="133" t="s">
        <v>102</v>
      </c>
      <c r="K12" s="139">
        <v>2</v>
      </c>
      <c r="L12" s="134" t="s">
        <v>105</v>
      </c>
      <c r="M12" s="123"/>
      <c r="N12" s="126"/>
      <c r="O12" s="126"/>
      <c r="P12" s="124" t="str">
        <f>IFERROR(VLOOKUP(tblNational_water[[#This Row],[Rating]],Guidance!$A$11:$C$15,3,0),"")</f>
        <v/>
      </c>
      <c r="Q12"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12" s="97" t="str">
        <f t="shared" si="4"/>
        <v>Water</v>
      </c>
      <c r="T12" s="98" t="str">
        <f t="shared" si="3"/>
        <v>fill in name of country/state in guidance sheet</v>
      </c>
      <c r="U12" s="82">
        <v>4</v>
      </c>
      <c r="V12" s="82" t="s">
        <v>106</v>
      </c>
      <c r="W12" s="103" t="str">
        <f>IFERROR(VLOOKUP(Results_water_national[[#This Row],[Indicator]],tblNational_water[[#All],[Code]:[Overall building block score]],7,0),"")</f>
        <v/>
      </c>
    </row>
    <row r="13" spans="1:23" ht="83.5" customHeight="1" x14ac:dyDescent="0.2">
      <c r="A13" s="12" t="str">
        <f t="shared" si="0"/>
        <v>fill in name of country/state in guidance sheet</v>
      </c>
      <c r="B13" s="12">
        <f t="shared" si="1"/>
        <v>2026</v>
      </c>
      <c r="C13" s="12" t="s">
        <v>92</v>
      </c>
      <c r="D13" s="2" t="str">
        <f t="shared" si="2"/>
        <v>Water</v>
      </c>
      <c r="E13" s="12"/>
      <c r="F13" s="12"/>
      <c r="G13" s="12"/>
      <c r="H13" s="12">
        <v>8</v>
      </c>
      <c r="I13" s="11" t="str">
        <f>IF(tblNational_water[[#This Row],[Code]]&gt;9.99,LEFT(tblNational_water[[#This Row],[Code]],2),LEFT(tblNational_water[[#This Row],[Code]],1))</f>
        <v>2</v>
      </c>
      <c r="J13" s="74" t="s">
        <v>102</v>
      </c>
      <c r="K13" s="76">
        <v>2.1</v>
      </c>
      <c r="L13" s="79" t="s">
        <v>107</v>
      </c>
      <c r="M13" s="95"/>
      <c r="N13" s="73"/>
      <c r="O13" s="73"/>
      <c r="P13" s="128" t="str">
        <f>IFERROR(VLOOKUP(tblNational_water[[#This Row],[Rating]],Guidance!$A$11:$C$15,3,0),"")</f>
        <v/>
      </c>
      <c r="Q13" s="117"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13" s="97" t="str">
        <f t="shared" si="4"/>
        <v>Water</v>
      </c>
      <c r="T13" s="98" t="str">
        <f t="shared" si="3"/>
        <v>fill in name of country/state in guidance sheet</v>
      </c>
      <c r="U13" s="82">
        <v>5</v>
      </c>
      <c r="V13" s="82" t="s">
        <v>108</v>
      </c>
      <c r="W13" s="103" t="str">
        <f>IFERROR(VLOOKUP(Results_water_national[[#This Row],[Indicator]],tblNational_water[[#All],[Code]:[Overall building block score]],7,0),"")</f>
        <v/>
      </c>
    </row>
    <row r="14" spans="1:23" ht="83.5" customHeight="1" x14ac:dyDescent="0.2">
      <c r="A14" s="12" t="str">
        <f t="shared" si="0"/>
        <v>fill in name of country/state in guidance sheet</v>
      </c>
      <c r="B14" s="12">
        <f t="shared" si="1"/>
        <v>2026</v>
      </c>
      <c r="C14" s="12" t="s">
        <v>92</v>
      </c>
      <c r="D14" s="2" t="str">
        <f t="shared" si="2"/>
        <v>Water</v>
      </c>
      <c r="E14" s="12"/>
      <c r="F14" s="12" t="s">
        <v>100</v>
      </c>
      <c r="G14" s="12"/>
      <c r="H14" s="12">
        <v>9</v>
      </c>
      <c r="I14" s="11" t="str">
        <f>IF(tblNational_water[[#This Row],[Code]]&gt;9.99,LEFT(tblNational_water[[#This Row],[Code]],2),LEFT(tblNational_water[[#This Row],[Code]],1))</f>
        <v>2</v>
      </c>
      <c r="J14" s="74" t="s">
        <v>102</v>
      </c>
      <c r="K14" s="76">
        <v>2.2000000000000002</v>
      </c>
      <c r="L14" s="80" t="s">
        <v>109</v>
      </c>
      <c r="M14" s="95"/>
      <c r="N14" s="73"/>
      <c r="O14" s="73"/>
      <c r="P14" s="118" t="str">
        <f>IFERROR(VLOOKUP(tblNational_water[[#This Row],[Rating]],Guidance!$A$11:$C$15,3,0),"")</f>
        <v/>
      </c>
      <c r="Q14"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14" s="97" t="str">
        <f t="shared" si="4"/>
        <v>Water</v>
      </c>
      <c r="T14" s="98" t="str">
        <f t="shared" si="3"/>
        <v>fill in name of country/state in guidance sheet</v>
      </c>
      <c r="U14" s="82">
        <v>6</v>
      </c>
      <c r="V14" s="82" t="s">
        <v>110</v>
      </c>
      <c r="W14" s="103" t="str">
        <f>IFERROR(VLOOKUP(Results_water_national[[#This Row],[Indicator]],tblNational_water[[#All],[Code]:[Overall building block score]],7,0),"")</f>
        <v/>
      </c>
    </row>
    <row r="15" spans="1:23" ht="83.5" customHeight="1" x14ac:dyDescent="0.2">
      <c r="A15" s="12" t="str">
        <f t="shared" si="0"/>
        <v>fill in name of country/state in guidance sheet</v>
      </c>
      <c r="B15" s="12">
        <f t="shared" si="1"/>
        <v>2026</v>
      </c>
      <c r="C15" s="12" t="s">
        <v>92</v>
      </c>
      <c r="D15" s="2" t="str">
        <f t="shared" si="2"/>
        <v>Water</v>
      </c>
      <c r="E15" s="12"/>
      <c r="F15" s="12"/>
      <c r="G15" s="12" t="s">
        <v>100</v>
      </c>
      <c r="H15" s="12">
        <v>10</v>
      </c>
      <c r="I15" s="11" t="str">
        <f>IF(tblNational_water[[#This Row],[Code]]&gt;9.99,LEFT(tblNational_water[[#This Row],[Code]],2),LEFT(tblNational_water[[#This Row],[Code]],1))</f>
        <v>2</v>
      </c>
      <c r="J15" s="74" t="s">
        <v>102</v>
      </c>
      <c r="K15" s="76">
        <v>2.2999999999999998</v>
      </c>
      <c r="L15" s="77" t="s">
        <v>111</v>
      </c>
      <c r="M15" s="95"/>
      <c r="N15" s="111"/>
      <c r="O15" s="112"/>
      <c r="P15" s="118" t="str">
        <f>IFERROR(VLOOKUP(tblNational_water[[#This Row],[Rating]],Guidance!$A$11:$C$15,3,0),"")</f>
        <v/>
      </c>
      <c r="Q15"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15" s="97" t="str">
        <f t="shared" si="4"/>
        <v>Water</v>
      </c>
      <c r="T15" s="98" t="str">
        <f t="shared" si="3"/>
        <v>fill in name of country/state in guidance sheet</v>
      </c>
      <c r="U15" s="82">
        <v>7</v>
      </c>
      <c r="V15" s="82" t="s">
        <v>112</v>
      </c>
      <c r="W15" s="103" t="str">
        <f>IFERROR(VLOOKUP(Results_water_national[[#This Row],[Indicator]],tblNational_water[[#All],[Code]:[Overall building block score]],7,0),"")</f>
        <v/>
      </c>
    </row>
    <row r="16" spans="1:23" ht="83.5" customHeight="1" x14ac:dyDescent="0.2">
      <c r="A16" s="12" t="str">
        <f t="shared" si="0"/>
        <v>fill in name of country/state in guidance sheet</v>
      </c>
      <c r="B16" s="12">
        <f t="shared" si="1"/>
        <v>2026</v>
      </c>
      <c r="C16" s="12" t="s">
        <v>92</v>
      </c>
      <c r="D16" s="2" t="str">
        <f t="shared" si="2"/>
        <v>Water</v>
      </c>
      <c r="E16" s="12" t="s">
        <v>100</v>
      </c>
      <c r="F16" s="12"/>
      <c r="G16" s="12"/>
      <c r="H16" s="12">
        <v>11</v>
      </c>
      <c r="I16" s="11" t="str">
        <f>IF(tblNational_water[[#This Row],[Code]]&gt;9.99,LEFT(tblNational_water[[#This Row],[Code]],2),LEFT(tblNational_water[[#This Row],[Code]],1))</f>
        <v>2</v>
      </c>
      <c r="J16" s="74" t="s">
        <v>102</v>
      </c>
      <c r="K16" s="76">
        <v>2.4</v>
      </c>
      <c r="L16" s="92" t="s">
        <v>113</v>
      </c>
      <c r="M16" s="95"/>
      <c r="N16" s="73"/>
      <c r="O16" s="73"/>
      <c r="P16" s="120" t="str">
        <f>IFERROR(VLOOKUP(tblNational_water[[#This Row],[Rating]],Guidance!$A$11:$C$15,3,0),"")</f>
        <v/>
      </c>
      <c r="Q16" s="116"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16" s="97" t="str">
        <f t="shared" si="4"/>
        <v>Water</v>
      </c>
      <c r="T16" s="98" t="str">
        <f t="shared" si="3"/>
        <v>fill in name of country/state in guidance sheet</v>
      </c>
      <c r="U16" s="82">
        <v>8</v>
      </c>
      <c r="V16" s="82" t="s">
        <v>114</v>
      </c>
      <c r="W16" s="103" t="str">
        <f>IFERROR(VLOOKUP(Results_water_national[[#This Row],[Indicator]],tblNational_water[[#All],[Code]:[Overall building block score]],7,0),"")</f>
        <v/>
      </c>
    </row>
    <row r="17" spans="1:23" ht="83.5" customHeight="1" x14ac:dyDescent="0.2">
      <c r="A17" s="12" t="str">
        <f t="shared" si="0"/>
        <v>fill in name of country/state in guidance sheet</v>
      </c>
      <c r="B17" s="12">
        <f t="shared" si="1"/>
        <v>2026</v>
      </c>
      <c r="C17" s="12" t="s">
        <v>86</v>
      </c>
      <c r="D17" s="2" t="str">
        <f t="shared" si="2"/>
        <v>Water</v>
      </c>
      <c r="E17" s="12"/>
      <c r="F17" s="12"/>
      <c r="G17" s="12"/>
      <c r="H17" s="12">
        <v>12</v>
      </c>
      <c r="I17" s="11" t="str">
        <f>IF(tblNational_water[[#This Row],[Code]]&gt;9.99,LEFT(tblNational_water[[#This Row],[Code]],2),LEFT(tblNational_water[[#This Row],[Code]],1))</f>
        <v>3</v>
      </c>
      <c r="J17" s="133" t="s">
        <v>115</v>
      </c>
      <c r="K17" s="139">
        <v>3</v>
      </c>
      <c r="L17" s="134" t="s">
        <v>116</v>
      </c>
      <c r="M17" s="123"/>
      <c r="N17" s="126"/>
      <c r="O17" s="126"/>
      <c r="P17" s="124" t="str">
        <f>IFERROR(VLOOKUP(tblNational_water[[#This Row],[Rating]],Guidance!$A$11:$C$15,3,0),"")</f>
        <v/>
      </c>
      <c r="Q17"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17" s="97" t="str">
        <f t="shared" si="4"/>
        <v>Water</v>
      </c>
      <c r="T17" s="98" t="str">
        <f t="shared" si="3"/>
        <v>fill in name of country/state in guidance sheet</v>
      </c>
      <c r="U17" s="82">
        <v>9</v>
      </c>
      <c r="V17" s="82" t="s">
        <v>117</v>
      </c>
      <c r="W17" s="103" t="str">
        <f>IFERROR(VLOOKUP(Results_water_national[[#This Row],[Indicator]],tblNational_water[[#All],[Code]:[Overall building block score]],7,0),"")</f>
        <v/>
      </c>
    </row>
    <row r="18" spans="1:23" ht="83.5" customHeight="1" x14ac:dyDescent="0.2">
      <c r="A18" s="12" t="str">
        <f t="shared" si="0"/>
        <v>fill in name of country/state in guidance sheet</v>
      </c>
      <c r="B18" s="12">
        <f t="shared" si="1"/>
        <v>2026</v>
      </c>
      <c r="C18" s="12" t="s">
        <v>92</v>
      </c>
      <c r="D18" s="2" t="str">
        <f t="shared" si="2"/>
        <v>Water</v>
      </c>
      <c r="E18" s="12"/>
      <c r="F18" s="12"/>
      <c r="G18" s="12"/>
      <c r="H18" s="12">
        <v>13</v>
      </c>
      <c r="I18" s="11" t="str">
        <f>IF(tblNational_water[[#This Row],[Code]]&gt;9.99,LEFT(tblNational_water[[#This Row],[Code]],2),LEFT(tblNational_water[[#This Row],[Code]],1))</f>
        <v>3</v>
      </c>
      <c r="J18" s="74" t="s">
        <v>115</v>
      </c>
      <c r="K18" s="76">
        <v>3.1</v>
      </c>
      <c r="L18" s="80" t="s">
        <v>118</v>
      </c>
      <c r="M18" s="95"/>
      <c r="N18" s="73"/>
      <c r="O18" s="73"/>
      <c r="P18" s="129" t="str">
        <f>IFERROR(VLOOKUP(tblNational_water[[#This Row],[Rating]],Guidance!$A$11:$C$15,3,0),"")</f>
        <v/>
      </c>
      <c r="Q18" s="117"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18" s="97" t="str">
        <f t="shared" si="4"/>
        <v>Water</v>
      </c>
      <c r="T18" s="98" t="str">
        <f t="shared" si="3"/>
        <v>fill in name of country/state in guidance sheet</v>
      </c>
      <c r="U18" s="82">
        <v>10</v>
      </c>
      <c r="V18" s="82" t="s">
        <v>119</v>
      </c>
      <c r="W18" s="103" t="str">
        <f>IFERROR(VLOOKUP(Results_water_national[[#This Row],[Indicator]],tblNational_water[[#All],[Code]:[Overall building block score]],7,0),"")</f>
        <v/>
      </c>
    </row>
    <row r="19" spans="1:23" ht="83.5" customHeight="1" x14ac:dyDescent="0.2">
      <c r="A19" s="12" t="str">
        <f t="shared" si="0"/>
        <v>fill in name of country/state in guidance sheet</v>
      </c>
      <c r="B19" s="12">
        <f t="shared" si="1"/>
        <v>2026</v>
      </c>
      <c r="C19" s="12" t="s">
        <v>92</v>
      </c>
      <c r="D19" s="2" t="str">
        <f t="shared" si="2"/>
        <v>Water</v>
      </c>
      <c r="E19" s="12"/>
      <c r="F19" s="12"/>
      <c r="G19" s="12"/>
      <c r="H19" s="12">
        <v>14</v>
      </c>
      <c r="I19" s="11" t="str">
        <f>IF(tblNational_water[[#This Row],[Code]]&gt;9.99,LEFT(tblNational_water[[#This Row],[Code]],2),LEFT(tblNational_water[[#This Row],[Code]],1))</f>
        <v>3</v>
      </c>
      <c r="J19" s="74" t="s">
        <v>115</v>
      </c>
      <c r="K19" s="76">
        <v>3.2</v>
      </c>
      <c r="L19" s="80" t="s">
        <v>120</v>
      </c>
      <c r="M19" s="95"/>
      <c r="N19" s="73"/>
      <c r="O19" s="73"/>
      <c r="P19" s="119" t="str">
        <f>IFERROR(VLOOKUP(tblNational_water[[#This Row],[Rating]],Guidance!$A$11:$C$15,3,0),"")</f>
        <v/>
      </c>
      <c r="Q19"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S19" s="97" t="s">
        <v>121</v>
      </c>
      <c r="T19" s="98"/>
      <c r="U19" s="102" t="s">
        <v>122</v>
      </c>
      <c r="V19" s="102" t="s">
        <v>122</v>
      </c>
      <c r="W19" s="103" t="str">
        <f>IFERROR(SUBTOTAL(101,Results_water_national[Index]),"")</f>
        <v/>
      </c>
    </row>
    <row r="20" spans="1:23" ht="83.5" customHeight="1" x14ac:dyDescent="0.2">
      <c r="A20" s="12" t="str">
        <f t="shared" si="0"/>
        <v>fill in name of country/state in guidance sheet</v>
      </c>
      <c r="B20" s="12">
        <f t="shared" si="1"/>
        <v>2026</v>
      </c>
      <c r="C20" s="12" t="s">
        <v>92</v>
      </c>
      <c r="D20" s="2" t="str">
        <f t="shared" si="2"/>
        <v>Water</v>
      </c>
      <c r="E20" s="12"/>
      <c r="F20" s="12"/>
      <c r="G20" s="12"/>
      <c r="H20" s="12">
        <v>15</v>
      </c>
      <c r="I20" s="11" t="str">
        <f>IF(tblNational_water[[#This Row],[Code]]&gt;9.99,LEFT(tblNational_water[[#This Row],[Code]],2),LEFT(tblNational_water[[#This Row],[Code]],1))</f>
        <v>3</v>
      </c>
      <c r="J20" s="74" t="s">
        <v>115</v>
      </c>
      <c r="K20" s="76">
        <v>3.3</v>
      </c>
      <c r="L20" s="77" t="s">
        <v>123</v>
      </c>
      <c r="M20" s="95"/>
      <c r="N20" s="111"/>
      <c r="O20" s="112"/>
      <c r="P20" s="119" t="str">
        <f>IFERROR(VLOOKUP(tblNational_water[[#This Row],[Rating]],Guidance!$A$11:$C$15,3,0),"")</f>
        <v/>
      </c>
      <c r="Q20"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20"/>
      <c r="V20"/>
      <c r="W20"/>
    </row>
    <row r="21" spans="1:23" ht="83.5" customHeight="1" x14ac:dyDescent="0.2">
      <c r="A21" s="12" t="str">
        <f t="shared" si="0"/>
        <v>fill in name of country/state in guidance sheet</v>
      </c>
      <c r="B21" s="12">
        <f t="shared" si="1"/>
        <v>2026</v>
      </c>
      <c r="C21" s="12" t="s">
        <v>92</v>
      </c>
      <c r="D21" s="2" t="str">
        <f t="shared" si="2"/>
        <v>Water</v>
      </c>
      <c r="E21" s="12"/>
      <c r="F21" s="12" t="s">
        <v>100</v>
      </c>
      <c r="G21" s="12"/>
      <c r="H21" s="12">
        <v>16</v>
      </c>
      <c r="I21" s="11" t="str">
        <f>IF(tblNational_water[[#This Row],[Code]]&gt;9.99,LEFT(tblNational_water[[#This Row],[Code]],2),LEFT(tblNational_water[[#This Row],[Code]],1))</f>
        <v>3</v>
      </c>
      <c r="J21" s="74" t="s">
        <v>115</v>
      </c>
      <c r="K21" s="76">
        <v>3.4</v>
      </c>
      <c r="L21" s="93" t="s">
        <v>124</v>
      </c>
      <c r="M21" s="95"/>
      <c r="N21" s="73"/>
      <c r="O21" s="73"/>
      <c r="P21" s="121" t="str">
        <f>IFERROR(VLOOKUP(tblNational_water[[#This Row],[Rating]],Guidance!$A$11:$C$15,3,0),"")</f>
        <v/>
      </c>
      <c r="Q21" s="116"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21"/>
      <c r="V21"/>
      <c r="W21"/>
    </row>
    <row r="22" spans="1:23" ht="83.5" customHeight="1" x14ac:dyDescent="0.2">
      <c r="A22" s="12" t="str">
        <f t="shared" si="0"/>
        <v>fill in name of country/state in guidance sheet</v>
      </c>
      <c r="B22" s="12">
        <f t="shared" si="1"/>
        <v>2026</v>
      </c>
      <c r="C22" s="12" t="s">
        <v>86</v>
      </c>
      <c r="D22" s="2" t="str">
        <f t="shared" si="2"/>
        <v>Water</v>
      </c>
      <c r="E22" s="12"/>
      <c r="F22" s="12"/>
      <c r="G22" s="12"/>
      <c r="H22" s="12">
        <v>17</v>
      </c>
      <c r="I22" s="11" t="str">
        <f>IF(tblNational_water[[#This Row],[Code]]&gt;9.99,LEFT(tblNational_water[[#This Row],[Code]],2),LEFT(tblNational_water[[#This Row],[Code]],1))</f>
        <v>4</v>
      </c>
      <c r="J22" s="133" t="s">
        <v>106</v>
      </c>
      <c r="K22" s="139">
        <v>4</v>
      </c>
      <c r="L22" s="135" t="s">
        <v>125</v>
      </c>
      <c r="M22" s="123"/>
      <c r="N22" s="126"/>
      <c r="O22" s="126"/>
      <c r="P22" s="124" t="str">
        <f>IFERROR(VLOOKUP(tblNational_water[[#This Row],[Rating]],Guidance!$A$11:$C$15,3,0),"")</f>
        <v/>
      </c>
      <c r="Q22"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22"/>
      <c r="V22"/>
      <c r="W22"/>
    </row>
    <row r="23" spans="1:23" ht="83.5" customHeight="1" x14ac:dyDescent="0.2">
      <c r="A23" s="12" t="str">
        <f t="shared" si="0"/>
        <v>fill in name of country/state in guidance sheet</v>
      </c>
      <c r="B23" s="12">
        <f t="shared" si="1"/>
        <v>2026</v>
      </c>
      <c r="C23" s="12" t="s">
        <v>92</v>
      </c>
      <c r="D23" s="2" t="str">
        <f t="shared" si="2"/>
        <v>Water</v>
      </c>
      <c r="E23" s="12"/>
      <c r="F23" s="12"/>
      <c r="G23" s="12" t="s">
        <v>126</v>
      </c>
      <c r="H23" s="12">
        <v>18</v>
      </c>
      <c r="I23" s="11" t="str">
        <f>IF(tblNational_water[[#This Row],[Code]]&gt;9.99,LEFT(tblNational_water[[#This Row],[Code]],2),LEFT(tblNational_water[[#This Row],[Code]],1))</f>
        <v>4</v>
      </c>
      <c r="J23" s="74" t="s">
        <v>106</v>
      </c>
      <c r="K23" s="76">
        <v>4.0999999999999996</v>
      </c>
      <c r="L23" s="80" t="s">
        <v>127</v>
      </c>
      <c r="M23" s="95"/>
      <c r="N23" s="73"/>
      <c r="O23" s="73"/>
      <c r="P23" s="130" t="str">
        <f>IFERROR(VLOOKUP(tblNational_water[[#This Row],[Rating]],Guidance!$A$11:$C$15,3,0),"")</f>
        <v/>
      </c>
      <c r="Q23" s="117"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23"/>
      <c r="V23"/>
      <c r="W23"/>
    </row>
    <row r="24" spans="1:23" ht="83.5" customHeight="1" x14ac:dyDescent="0.2">
      <c r="A24" s="12" t="str">
        <f t="shared" si="0"/>
        <v>fill in name of country/state in guidance sheet</v>
      </c>
      <c r="B24" s="12">
        <f t="shared" si="1"/>
        <v>2026</v>
      </c>
      <c r="C24" s="12" t="s">
        <v>92</v>
      </c>
      <c r="D24" s="2" t="str">
        <f t="shared" si="2"/>
        <v>Water</v>
      </c>
      <c r="E24" s="12"/>
      <c r="F24" s="12" t="s">
        <v>100</v>
      </c>
      <c r="G24" s="12" t="s">
        <v>126</v>
      </c>
      <c r="H24" s="12">
        <v>19</v>
      </c>
      <c r="I24" s="11" t="str">
        <f>IF(tblNational_water[[#This Row],[Code]]&gt;9.99,LEFT(tblNational_water[[#This Row],[Code]],2),LEFT(tblNational_water[[#This Row],[Code]],1))</f>
        <v>4</v>
      </c>
      <c r="J24" s="74" t="s">
        <v>106</v>
      </c>
      <c r="K24" s="76">
        <v>4.2</v>
      </c>
      <c r="L24" s="81" t="s">
        <v>128</v>
      </c>
      <c r="M24" s="95"/>
      <c r="N24" s="73"/>
      <c r="O24" s="73"/>
      <c r="P24" s="114" t="str">
        <f>IFERROR(VLOOKUP(tblNational_water[[#This Row],[Rating]],Guidance!$A$11:$C$15,3,0),"")</f>
        <v/>
      </c>
      <c r="Q24"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24"/>
      <c r="V24"/>
      <c r="W24"/>
    </row>
    <row r="25" spans="1:23" ht="83.5" customHeight="1" x14ac:dyDescent="0.2">
      <c r="A25" s="12" t="str">
        <f t="shared" si="0"/>
        <v>fill in name of country/state in guidance sheet</v>
      </c>
      <c r="B25" s="12">
        <f t="shared" si="1"/>
        <v>2026</v>
      </c>
      <c r="C25" s="12" t="s">
        <v>92</v>
      </c>
      <c r="D25" s="2" t="str">
        <f t="shared" si="2"/>
        <v>Water</v>
      </c>
      <c r="E25" s="12"/>
      <c r="F25" s="12" t="s">
        <v>100</v>
      </c>
      <c r="G25" s="12" t="s">
        <v>126</v>
      </c>
      <c r="H25" s="12">
        <v>20</v>
      </c>
      <c r="I25" s="11" t="str">
        <f>IF(tblNational_water[[#This Row],[Code]]&gt;9.99,LEFT(tblNational_water[[#This Row],[Code]],2),LEFT(tblNational_water[[#This Row],[Code]],1))</f>
        <v>4</v>
      </c>
      <c r="J25" s="74" t="s">
        <v>106</v>
      </c>
      <c r="K25" s="76">
        <v>4.3</v>
      </c>
      <c r="L25" s="77" t="s">
        <v>129</v>
      </c>
      <c r="M25" s="95"/>
      <c r="N25" s="111"/>
      <c r="O25" s="112"/>
      <c r="P25" s="114" t="str">
        <f>IFERROR(VLOOKUP(tblNational_water[[#This Row],[Rating]],Guidance!$A$11:$C$15,3,0),"")</f>
        <v/>
      </c>
      <c r="Q25"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25"/>
      <c r="V25"/>
      <c r="W25"/>
    </row>
    <row r="26" spans="1:23" ht="83.5" customHeight="1" x14ac:dyDescent="0.2">
      <c r="A26" s="12" t="str">
        <f t="shared" si="0"/>
        <v>fill in name of country/state in guidance sheet</v>
      </c>
      <c r="B26" s="12">
        <f t="shared" si="1"/>
        <v>2026</v>
      </c>
      <c r="C26" s="12" t="s">
        <v>92</v>
      </c>
      <c r="D26" s="2" t="str">
        <f t="shared" si="2"/>
        <v>Water</v>
      </c>
      <c r="E26" s="12"/>
      <c r="F26" s="12" t="s">
        <v>100</v>
      </c>
      <c r="G26" s="12" t="s">
        <v>100</v>
      </c>
      <c r="H26" s="12">
        <v>21</v>
      </c>
      <c r="I26" s="11" t="str">
        <f>IF(tblNational_water[[#This Row],[Code]]&gt;9.99,LEFT(tblNational_water[[#This Row],[Code]],2),LEFT(tblNational_water[[#This Row],[Code]],1))</f>
        <v>4</v>
      </c>
      <c r="J26" s="74" t="s">
        <v>106</v>
      </c>
      <c r="K26" s="78">
        <v>4.4000000000000004</v>
      </c>
      <c r="L26" s="79" t="s">
        <v>130</v>
      </c>
      <c r="M26" s="95"/>
      <c r="N26" s="73"/>
      <c r="O26" s="73"/>
      <c r="P26" s="114" t="str">
        <f>IFERROR(VLOOKUP(tblNational_water[[#This Row],[Rating]],Guidance!$A$11:$C$15,3,0),"")</f>
        <v/>
      </c>
      <c r="Q26"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26"/>
      <c r="V26"/>
      <c r="W26"/>
    </row>
    <row r="27" spans="1:23" ht="83.5" customHeight="1" x14ac:dyDescent="0.2">
      <c r="A27" s="12" t="str">
        <f t="shared" si="0"/>
        <v>fill in name of country/state in guidance sheet</v>
      </c>
      <c r="B27" s="12">
        <f t="shared" si="1"/>
        <v>2026</v>
      </c>
      <c r="C27" s="12" t="s">
        <v>92</v>
      </c>
      <c r="D27" s="2" t="str">
        <f t="shared" si="2"/>
        <v>Water</v>
      </c>
      <c r="E27" s="12"/>
      <c r="F27" s="12" t="s">
        <v>100</v>
      </c>
      <c r="G27" s="12"/>
      <c r="H27" s="12">
        <v>22</v>
      </c>
      <c r="I27" s="11" t="str">
        <f>IF(tblNational_water[[#This Row],[Code]]&gt;9.99,LEFT(tblNational_water[[#This Row],[Code]],2),LEFT(tblNational_water[[#This Row],[Code]],1))</f>
        <v>4</v>
      </c>
      <c r="J27" s="74" t="s">
        <v>106</v>
      </c>
      <c r="K27" s="76">
        <v>4.5</v>
      </c>
      <c r="L27" s="80" t="s">
        <v>131</v>
      </c>
      <c r="M27" s="95"/>
      <c r="N27" s="73"/>
      <c r="O27" s="73"/>
      <c r="P27" s="114" t="str">
        <f>IFERROR(VLOOKUP(tblNational_water[[#This Row],[Rating]],Guidance!$A$11:$C$15,3,0),"")</f>
        <v/>
      </c>
      <c r="Q27"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27"/>
      <c r="V27"/>
      <c r="W27"/>
    </row>
    <row r="28" spans="1:23" ht="83.5" customHeight="1" x14ac:dyDescent="0.2">
      <c r="A28" s="12" t="str">
        <f t="shared" si="0"/>
        <v>fill in name of country/state in guidance sheet</v>
      </c>
      <c r="B28" s="12">
        <f t="shared" si="1"/>
        <v>2026</v>
      </c>
      <c r="C28" s="12" t="s">
        <v>92</v>
      </c>
      <c r="D28" s="2" t="str">
        <f t="shared" si="2"/>
        <v>Water</v>
      </c>
      <c r="E28" s="12"/>
      <c r="F28" s="12"/>
      <c r="G28" s="12" t="s">
        <v>100</v>
      </c>
      <c r="H28" s="12">
        <v>23</v>
      </c>
      <c r="I28" s="11" t="str">
        <f>IF(tblNational_water[[#This Row],[Code]]&gt;9.99,LEFT(tblNational_water[[#This Row],[Code]],2),LEFT(tblNational_water[[#This Row],[Code]],1))</f>
        <v>4</v>
      </c>
      <c r="J28" s="74" t="s">
        <v>106</v>
      </c>
      <c r="K28" s="78">
        <v>4.5999999999999996</v>
      </c>
      <c r="L28" s="91" t="s">
        <v>132</v>
      </c>
      <c r="M28" s="95"/>
      <c r="N28" s="73"/>
      <c r="O28" s="73"/>
      <c r="P28" s="114" t="str">
        <f>IFERROR(VLOOKUP(tblNational_water[[#This Row],[Rating]],Guidance!$A$11:$C$15,3,0),"")</f>
        <v/>
      </c>
      <c r="Q28"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28"/>
      <c r="V28"/>
      <c r="W28"/>
    </row>
    <row r="29" spans="1:23" ht="83.5" customHeight="1" x14ac:dyDescent="0.2">
      <c r="A29" s="12" t="str">
        <f t="shared" si="0"/>
        <v>fill in name of country/state in guidance sheet</v>
      </c>
      <c r="B29" s="12">
        <f t="shared" si="1"/>
        <v>2026</v>
      </c>
      <c r="C29" s="12" t="s">
        <v>92</v>
      </c>
      <c r="D29" s="2" t="str">
        <f t="shared" si="2"/>
        <v>Water</v>
      </c>
      <c r="E29" s="12" t="s">
        <v>100</v>
      </c>
      <c r="F29" s="12"/>
      <c r="G29" s="12"/>
      <c r="H29" s="12">
        <v>24</v>
      </c>
      <c r="I29" s="11" t="str">
        <f>IF(tblNational_water[[#This Row],[Code]]&gt;9.99,LEFT(tblNational_water[[#This Row],[Code]],2),LEFT(tblNational_water[[#This Row],[Code]],1))</f>
        <v>4</v>
      </c>
      <c r="J29" s="74" t="s">
        <v>106</v>
      </c>
      <c r="K29" s="76">
        <v>4.7</v>
      </c>
      <c r="L29" s="80" t="s">
        <v>133</v>
      </c>
      <c r="M29" s="95"/>
      <c r="N29" s="73"/>
      <c r="O29" s="73"/>
      <c r="P29" s="114" t="str">
        <f>IFERROR(VLOOKUP(tblNational_water[[#This Row],[Rating]],Guidance!$A$11:$C$15,3,0),"")</f>
        <v/>
      </c>
      <c r="Q29"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29"/>
      <c r="V29"/>
      <c r="W29"/>
    </row>
    <row r="30" spans="1:23" ht="83.5" customHeight="1" x14ac:dyDescent="0.2">
      <c r="A30" s="12" t="str">
        <f t="shared" si="0"/>
        <v>fill in name of country/state in guidance sheet</v>
      </c>
      <c r="B30" s="12">
        <f t="shared" si="1"/>
        <v>2026</v>
      </c>
      <c r="C30" s="12" t="s">
        <v>92</v>
      </c>
      <c r="D30" s="2" t="str">
        <f t="shared" si="2"/>
        <v>Water</v>
      </c>
      <c r="E30" s="12" t="s">
        <v>100</v>
      </c>
      <c r="F30" s="12"/>
      <c r="G30" s="12"/>
      <c r="H30" s="12">
        <v>25</v>
      </c>
      <c r="I30" s="11" t="str">
        <f>IF(tblNational_water[[#This Row],[Code]]&gt;9.99,LEFT(tblNational_water[[#This Row],[Code]],2),LEFT(tblNational_water[[#This Row],[Code]],1))</f>
        <v>4</v>
      </c>
      <c r="J30" s="74" t="s">
        <v>106</v>
      </c>
      <c r="K30" s="78">
        <v>4.8</v>
      </c>
      <c r="L30" s="80" t="s">
        <v>134</v>
      </c>
      <c r="M30" s="95"/>
      <c r="N30" s="73"/>
      <c r="O30" s="73"/>
      <c r="P30" s="122" t="str">
        <f>IFERROR(VLOOKUP(tblNational_water[[#This Row],[Rating]],Guidance!$A$11:$C$15,3,0),"")</f>
        <v/>
      </c>
      <c r="Q30" s="116"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30"/>
      <c r="V30"/>
      <c r="W30"/>
    </row>
    <row r="31" spans="1:23" ht="83.5" customHeight="1" x14ac:dyDescent="0.2">
      <c r="A31" s="12" t="str">
        <f t="shared" si="0"/>
        <v>fill in name of country/state in guidance sheet</v>
      </c>
      <c r="B31" s="12">
        <f t="shared" si="1"/>
        <v>2026</v>
      </c>
      <c r="C31" s="12" t="s">
        <v>86</v>
      </c>
      <c r="D31" s="2" t="str">
        <f t="shared" si="2"/>
        <v>Water</v>
      </c>
      <c r="E31" s="12"/>
      <c r="F31" s="12"/>
      <c r="G31" s="12"/>
      <c r="H31" s="12">
        <v>26</v>
      </c>
      <c r="I31" s="11" t="str">
        <f>IF(tblNational_water[[#This Row],[Code]]&gt;9.99,LEFT(tblNational_water[[#This Row],[Code]],2),LEFT(tblNational_water[[#This Row],[Code]],1))</f>
        <v>5</v>
      </c>
      <c r="J31" s="133" t="s">
        <v>135</v>
      </c>
      <c r="K31" s="139">
        <v>5</v>
      </c>
      <c r="L31" s="134" t="s">
        <v>136</v>
      </c>
      <c r="M31" s="123"/>
      <c r="N31" s="126"/>
      <c r="O31" s="126"/>
      <c r="P31" s="124" t="str">
        <f>IFERROR(VLOOKUP(tblNational_water[[#This Row],[Rating]],Guidance!$A$11:$C$15,3,0),"")</f>
        <v/>
      </c>
      <c r="Q31"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31"/>
      <c r="V31"/>
      <c r="W31"/>
    </row>
    <row r="32" spans="1:23" ht="83.5" customHeight="1" x14ac:dyDescent="0.2">
      <c r="A32" s="12" t="str">
        <f t="shared" si="0"/>
        <v>fill in name of country/state in guidance sheet</v>
      </c>
      <c r="B32" s="12">
        <f t="shared" si="1"/>
        <v>2026</v>
      </c>
      <c r="C32" s="12" t="s">
        <v>92</v>
      </c>
      <c r="D32" s="2" t="str">
        <f t="shared" si="2"/>
        <v>Water</v>
      </c>
      <c r="E32" s="12"/>
      <c r="F32" s="12" t="s">
        <v>100</v>
      </c>
      <c r="G32" s="12" t="s">
        <v>126</v>
      </c>
      <c r="H32" s="12">
        <v>27</v>
      </c>
      <c r="I32" s="11" t="str">
        <f>IF(tblNational_water[[#This Row],[Code]]&gt;9.99,LEFT(tblNational_water[[#This Row],[Code]],2),LEFT(tblNational_water[[#This Row],[Code]],1))</f>
        <v>5</v>
      </c>
      <c r="J32" s="74" t="s">
        <v>135</v>
      </c>
      <c r="K32" s="78">
        <v>5.0999999999999996</v>
      </c>
      <c r="L32" s="80" t="s">
        <v>137</v>
      </c>
      <c r="M32" s="95"/>
      <c r="N32" s="73"/>
      <c r="O32" s="73"/>
      <c r="P32" s="128" t="str">
        <f>IFERROR(VLOOKUP(tblNational_water[[#This Row],[Rating]],Guidance!$A$11:$C$15,3,0),"")</f>
        <v/>
      </c>
      <c r="Q32"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32"/>
      <c r="V32"/>
      <c r="W32"/>
    </row>
    <row r="33" spans="1:23" ht="83.5" customHeight="1" x14ac:dyDescent="0.2">
      <c r="A33" s="12" t="str">
        <f t="shared" si="0"/>
        <v>fill in name of country/state in guidance sheet</v>
      </c>
      <c r="B33" s="12">
        <f t="shared" si="1"/>
        <v>2026</v>
      </c>
      <c r="C33" s="12" t="s">
        <v>92</v>
      </c>
      <c r="D33" s="2" t="str">
        <f t="shared" si="2"/>
        <v>Water</v>
      </c>
      <c r="E33" s="12"/>
      <c r="F33" s="12"/>
      <c r="G33" s="12" t="s">
        <v>126</v>
      </c>
      <c r="H33" s="12">
        <v>28</v>
      </c>
      <c r="I33" s="11" t="str">
        <f>IF(tblNational_water[[#This Row],[Code]]&gt;9.99,LEFT(tblNational_water[[#This Row],[Code]],2),LEFT(tblNational_water[[#This Row],[Code]],1))</f>
        <v>5</v>
      </c>
      <c r="J33" s="74" t="s">
        <v>135</v>
      </c>
      <c r="K33" s="76">
        <v>5.2</v>
      </c>
      <c r="L33" s="79" t="s">
        <v>138</v>
      </c>
      <c r="M33" s="95"/>
      <c r="N33" s="73"/>
      <c r="O33" s="73"/>
      <c r="P33" s="118" t="str">
        <f>IFERROR(VLOOKUP(tblNational_water[[#This Row],[Rating]],Guidance!$A$11:$C$15,3,0),"")</f>
        <v/>
      </c>
      <c r="Q33"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33"/>
      <c r="V33"/>
      <c r="W33"/>
    </row>
    <row r="34" spans="1:23" ht="83.5" customHeight="1" x14ac:dyDescent="0.2">
      <c r="A34" s="12" t="str">
        <f t="shared" si="0"/>
        <v>fill in name of country/state in guidance sheet</v>
      </c>
      <c r="B34" s="12">
        <f t="shared" si="1"/>
        <v>2026</v>
      </c>
      <c r="C34" s="12" t="s">
        <v>92</v>
      </c>
      <c r="D34" s="2" t="str">
        <f t="shared" si="2"/>
        <v>Water</v>
      </c>
      <c r="E34" s="12"/>
      <c r="F34" s="12"/>
      <c r="G34" s="12" t="s">
        <v>126</v>
      </c>
      <c r="H34" s="12">
        <v>29</v>
      </c>
      <c r="I34" s="11" t="str">
        <f>IF(tblNational_water[[#This Row],[Code]]&gt;9.99,LEFT(tblNational_water[[#This Row],[Code]],2),LEFT(tblNational_water[[#This Row],[Code]],1))</f>
        <v>5</v>
      </c>
      <c r="J34" s="74" t="s">
        <v>135</v>
      </c>
      <c r="K34" s="76">
        <v>5.3</v>
      </c>
      <c r="L34" s="77" t="s">
        <v>139</v>
      </c>
      <c r="M34" s="95"/>
      <c r="N34" s="111"/>
      <c r="O34" s="112"/>
      <c r="P34" s="118" t="str">
        <f>IFERROR(VLOOKUP(tblNational_water[[#This Row],[Rating]],Guidance!$A$11:$C$15,3,0),"")</f>
        <v/>
      </c>
      <c r="Q34"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34"/>
      <c r="V34"/>
      <c r="W34"/>
    </row>
    <row r="35" spans="1:23" ht="83.5" customHeight="1" x14ac:dyDescent="0.2">
      <c r="A35" s="12" t="str">
        <f t="shared" si="0"/>
        <v>fill in name of country/state in guidance sheet</v>
      </c>
      <c r="B35" s="12">
        <f t="shared" si="1"/>
        <v>2026</v>
      </c>
      <c r="C35" s="12" t="s">
        <v>92</v>
      </c>
      <c r="D35" s="2" t="str">
        <f t="shared" si="2"/>
        <v>Water</v>
      </c>
      <c r="E35" s="12"/>
      <c r="F35" s="12"/>
      <c r="G35" s="12" t="s">
        <v>100</v>
      </c>
      <c r="H35" s="12">
        <v>30</v>
      </c>
      <c r="I35" s="11" t="str">
        <f>IF(tblNational_water[[#This Row],[Code]]&gt;9.99,LEFT(tblNational_water[[#This Row],[Code]],2),LEFT(tblNational_water[[#This Row],[Code]],1))</f>
        <v>5</v>
      </c>
      <c r="J35" s="74" t="s">
        <v>135</v>
      </c>
      <c r="K35" s="76">
        <v>5.4</v>
      </c>
      <c r="L35" s="80" t="s">
        <v>140</v>
      </c>
      <c r="M35" s="95"/>
      <c r="N35" s="73"/>
      <c r="O35" s="73"/>
      <c r="P35" s="118" t="str">
        <f>IFERROR(VLOOKUP(tblNational_water[[#This Row],[Rating]],Guidance!$A$11:$C$15,3,0),"")</f>
        <v/>
      </c>
      <c r="Q35"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35"/>
      <c r="V35"/>
      <c r="W35"/>
    </row>
    <row r="36" spans="1:23" ht="83.5" customHeight="1" x14ac:dyDescent="0.2">
      <c r="A36" s="12" t="str">
        <f t="shared" si="0"/>
        <v>fill in name of country/state in guidance sheet</v>
      </c>
      <c r="B36" s="12">
        <f t="shared" si="1"/>
        <v>2026</v>
      </c>
      <c r="C36" s="12" t="s">
        <v>92</v>
      </c>
      <c r="D36" s="2" t="str">
        <f t="shared" si="2"/>
        <v>Water</v>
      </c>
      <c r="E36" s="12"/>
      <c r="F36" s="12"/>
      <c r="G36" s="12" t="s">
        <v>100</v>
      </c>
      <c r="H36" s="12">
        <v>31</v>
      </c>
      <c r="I36" s="11" t="str">
        <f>IF(tblNational_water[[#This Row],[Code]]&gt;9.99,LEFT(tblNational_water[[#This Row],[Code]],2),LEFT(tblNational_water[[#This Row],[Code]],1))</f>
        <v>5</v>
      </c>
      <c r="J36" s="74" t="s">
        <v>135</v>
      </c>
      <c r="K36" s="76">
        <v>5.5</v>
      </c>
      <c r="L36" s="81" t="s">
        <v>141</v>
      </c>
      <c r="M36" s="95"/>
      <c r="N36" s="73"/>
      <c r="O36" s="73"/>
      <c r="P36" s="118" t="str">
        <f>IFERROR(VLOOKUP(tblNational_water[[#This Row],[Rating]],Guidance!$A$11:$C$15,3,0),"")</f>
        <v/>
      </c>
      <c r="Q36"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36"/>
      <c r="V36"/>
      <c r="W36"/>
    </row>
    <row r="37" spans="1:23" ht="83.5" customHeight="1" x14ac:dyDescent="0.2">
      <c r="A37" s="12" t="str">
        <f t="shared" si="0"/>
        <v>fill in name of country/state in guidance sheet</v>
      </c>
      <c r="B37" s="12">
        <f t="shared" si="1"/>
        <v>2026</v>
      </c>
      <c r="C37" s="12" t="s">
        <v>92</v>
      </c>
      <c r="D37" s="2" t="str">
        <f t="shared" si="2"/>
        <v>Water</v>
      </c>
      <c r="E37" s="12" t="s">
        <v>100</v>
      </c>
      <c r="F37" s="12"/>
      <c r="G37" s="12"/>
      <c r="H37" s="12">
        <v>32</v>
      </c>
      <c r="I37" s="11" t="str">
        <f>IF(tblNational_water[[#This Row],[Code]]&gt;9.99,LEFT(tblNational_water[[#This Row],[Code]],2),LEFT(tblNational_water[[#This Row],[Code]],1))</f>
        <v>5</v>
      </c>
      <c r="J37" s="74" t="s">
        <v>135</v>
      </c>
      <c r="K37" s="76">
        <v>5.6</v>
      </c>
      <c r="L37" s="79" t="s">
        <v>142</v>
      </c>
      <c r="M37" s="95"/>
      <c r="N37" s="73"/>
      <c r="O37" s="73"/>
      <c r="P37" s="120" t="str">
        <f>IFERROR(VLOOKUP(tblNational_water[[#This Row],[Rating]],Guidance!$A$11:$C$15,3,0),"")</f>
        <v/>
      </c>
      <c r="Q37" s="116"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37"/>
      <c r="V37"/>
      <c r="W37"/>
    </row>
    <row r="38" spans="1:23" ht="83.5" customHeight="1" x14ac:dyDescent="0.2">
      <c r="A38" s="12" t="str">
        <f t="shared" ref="A38:A73" si="5">IF($O$1="Fill in Name","National",$O$1)</f>
        <v>fill in name of country/state in guidance sheet</v>
      </c>
      <c r="B38" s="12">
        <f t="shared" ref="B38:B73" si="6">Year</f>
        <v>2026</v>
      </c>
      <c r="C38" s="12" t="s">
        <v>86</v>
      </c>
      <c r="D38" s="2" t="str">
        <f t="shared" ref="D38:D73" si="7">$O$2</f>
        <v>Water</v>
      </c>
      <c r="E38" s="12"/>
      <c r="F38" s="12"/>
      <c r="G38" s="12"/>
      <c r="H38" s="12">
        <v>33</v>
      </c>
      <c r="I38" s="11" t="str">
        <f>IF(tblNational_water[[#This Row],[Code]]&gt;9.99,LEFT(tblNational_water[[#This Row],[Code]],2),LEFT(tblNational_water[[#This Row],[Code]],1))</f>
        <v>6</v>
      </c>
      <c r="J38" s="133" t="s">
        <v>110</v>
      </c>
      <c r="K38" s="139">
        <v>6</v>
      </c>
      <c r="L38" s="134" t="s">
        <v>143</v>
      </c>
      <c r="M38" s="123"/>
      <c r="N38" s="126"/>
      <c r="O38" s="126"/>
      <c r="P38" s="124" t="str">
        <f>IFERROR(VLOOKUP(tblNational_water[[#This Row],[Rating]],Guidance!$A$11:$C$15,3,0),"")</f>
        <v/>
      </c>
      <c r="Q38"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38"/>
      <c r="V38"/>
      <c r="W38"/>
    </row>
    <row r="39" spans="1:23" ht="83.5" customHeight="1" x14ac:dyDescent="0.2">
      <c r="A39" s="12" t="str">
        <f t="shared" si="5"/>
        <v>fill in name of country/state in guidance sheet</v>
      </c>
      <c r="B39" s="12">
        <f t="shared" si="6"/>
        <v>2026</v>
      </c>
      <c r="C39" s="12" t="s">
        <v>92</v>
      </c>
      <c r="D39" s="2" t="str">
        <f t="shared" si="7"/>
        <v>Water</v>
      </c>
      <c r="E39" s="12"/>
      <c r="F39" s="12"/>
      <c r="G39" s="12" t="s">
        <v>126</v>
      </c>
      <c r="H39" s="12">
        <v>34</v>
      </c>
      <c r="I39" s="11" t="str">
        <f>IF(tblNational_water[[#This Row],[Code]]&gt;9.99,LEFT(tblNational_water[[#This Row],[Code]],2),LEFT(tblNational_water[[#This Row],[Code]],1))</f>
        <v>6</v>
      </c>
      <c r="J39" s="74" t="s">
        <v>110</v>
      </c>
      <c r="K39" s="76">
        <v>6.1</v>
      </c>
      <c r="L39" s="81" t="s">
        <v>144</v>
      </c>
      <c r="M39" s="95"/>
      <c r="N39" s="73"/>
      <c r="O39" s="73"/>
      <c r="P39" s="129" t="str">
        <f>IFERROR(VLOOKUP(tblNational_water[[#This Row],[Rating]],Guidance!$A$11:$C$15,3,0),"")</f>
        <v/>
      </c>
      <c r="Q39" s="117"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39"/>
      <c r="V39"/>
      <c r="W39"/>
    </row>
    <row r="40" spans="1:23" ht="83.5" customHeight="1" x14ac:dyDescent="0.2">
      <c r="A40" s="12" t="str">
        <f t="shared" si="5"/>
        <v>fill in name of country/state in guidance sheet</v>
      </c>
      <c r="B40" s="12">
        <f t="shared" si="6"/>
        <v>2026</v>
      </c>
      <c r="C40" s="12" t="s">
        <v>92</v>
      </c>
      <c r="D40" s="2" t="str">
        <f t="shared" si="7"/>
        <v>Water</v>
      </c>
      <c r="E40" s="12"/>
      <c r="F40" s="12"/>
      <c r="G40" s="12" t="s">
        <v>126</v>
      </c>
      <c r="H40" s="12">
        <v>35</v>
      </c>
      <c r="I40" s="11" t="str">
        <f>IF(tblNational_water[[#This Row],[Code]]&gt;9.99,LEFT(tblNational_water[[#This Row],[Code]],2),LEFT(tblNational_water[[#This Row],[Code]],1))</f>
        <v>6</v>
      </c>
      <c r="J40" s="74" t="s">
        <v>110</v>
      </c>
      <c r="K40" s="76">
        <v>6.2</v>
      </c>
      <c r="L40" s="80" t="s">
        <v>145</v>
      </c>
      <c r="M40" s="95"/>
      <c r="N40" s="73"/>
      <c r="O40" s="73"/>
      <c r="P40" s="119" t="str">
        <f>IFERROR(VLOOKUP(tblNational_water[[#This Row],[Rating]],Guidance!$A$11:$C$15,3,0),"")</f>
        <v/>
      </c>
      <c r="Q40"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40"/>
      <c r="V40"/>
      <c r="W40"/>
    </row>
    <row r="41" spans="1:23" ht="83.5" customHeight="1" x14ac:dyDescent="0.2">
      <c r="A41" s="12" t="str">
        <f t="shared" si="5"/>
        <v>fill in name of country/state in guidance sheet</v>
      </c>
      <c r="B41" s="12">
        <f t="shared" si="6"/>
        <v>2026</v>
      </c>
      <c r="C41" s="12" t="s">
        <v>92</v>
      </c>
      <c r="D41" s="2" t="str">
        <f t="shared" si="7"/>
        <v>Water</v>
      </c>
      <c r="E41" s="12"/>
      <c r="F41" s="12"/>
      <c r="G41" s="12" t="s">
        <v>126</v>
      </c>
      <c r="H41" s="12">
        <v>36</v>
      </c>
      <c r="I41" s="11" t="str">
        <f>IF(tblNational_water[[#This Row],[Code]]&gt;9.99,LEFT(tblNational_water[[#This Row],[Code]],2),LEFT(tblNational_water[[#This Row],[Code]],1))</f>
        <v>6</v>
      </c>
      <c r="J41" s="74" t="s">
        <v>110</v>
      </c>
      <c r="K41" s="76">
        <v>6.3</v>
      </c>
      <c r="L41" s="77" t="s">
        <v>146</v>
      </c>
      <c r="M41" s="95"/>
      <c r="N41" s="111"/>
      <c r="O41" s="112"/>
      <c r="P41" s="119" t="str">
        <f>IFERROR(VLOOKUP(tblNational_water[[#This Row],[Rating]],Guidance!$A$11:$C$15,3,0),"")</f>
        <v/>
      </c>
      <c r="Q41"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41"/>
      <c r="V41"/>
      <c r="W41"/>
    </row>
    <row r="42" spans="1:23" ht="83.5" customHeight="1" x14ac:dyDescent="0.2">
      <c r="A42" s="12" t="str">
        <f t="shared" si="5"/>
        <v>fill in name of country/state in guidance sheet</v>
      </c>
      <c r="B42" s="12">
        <f t="shared" si="6"/>
        <v>2026</v>
      </c>
      <c r="C42" s="12" t="s">
        <v>92</v>
      </c>
      <c r="D42" s="2" t="str">
        <f t="shared" si="7"/>
        <v>Water</v>
      </c>
      <c r="E42" s="12"/>
      <c r="F42" s="12"/>
      <c r="G42" s="12" t="s">
        <v>126</v>
      </c>
      <c r="H42" s="12">
        <v>37</v>
      </c>
      <c r="I42" s="11" t="str">
        <f>IF(tblNational_water[[#This Row],[Code]]&gt;9.99,LEFT(tblNational_water[[#This Row],[Code]],2),LEFT(tblNational_water[[#This Row],[Code]],1))</f>
        <v>6</v>
      </c>
      <c r="J42" s="74" t="s">
        <v>110</v>
      </c>
      <c r="K42" s="76">
        <v>6.4</v>
      </c>
      <c r="L42" s="79" t="s">
        <v>147</v>
      </c>
      <c r="M42" s="95"/>
      <c r="N42" s="73"/>
      <c r="O42" s="73"/>
      <c r="P42" s="119" t="str">
        <f>IFERROR(VLOOKUP(tblNational_water[[#This Row],[Rating]],Guidance!$A$11:$C$15,3,0),"")</f>
        <v/>
      </c>
      <c r="Q42"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42"/>
      <c r="V42"/>
      <c r="W42"/>
    </row>
    <row r="43" spans="1:23" ht="83.5" customHeight="1" x14ac:dyDescent="0.2">
      <c r="A43" s="12" t="str">
        <f t="shared" si="5"/>
        <v>fill in name of country/state in guidance sheet</v>
      </c>
      <c r="B43" s="12">
        <f t="shared" si="6"/>
        <v>2026</v>
      </c>
      <c r="C43" s="12" t="s">
        <v>92</v>
      </c>
      <c r="D43" s="2" t="str">
        <f t="shared" si="7"/>
        <v>Water</v>
      </c>
      <c r="E43" s="12"/>
      <c r="F43" s="12"/>
      <c r="G43" s="12" t="s">
        <v>126</v>
      </c>
      <c r="H43" s="12">
        <v>38</v>
      </c>
      <c r="I43" s="11" t="str">
        <f>IF(tblNational_water[[#This Row],[Code]]&gt;9.99,LEFT(tblNational_water[[#This Row],[Code]],2),LEFT(tblNational_water[[#This Row],[Code]],1))</f>
        <v>6</v>
      </c>
      <c r="J43" s="74" t="s">
        <v>110</v>
      </c>
      <c r="K43" s="78">
        <v>6.5</v>
      </c>
      <c r="L43" s="79" t="s">
        <v>148</v>
      </c>
      <c r="M43" s="95"/>
      <c r="N43" s="73"/>
      <c r="O43" s="73"/>
      <c r="P43" s="119" t="str">
        <f>IFERROR(VLOOKUP(tblNational_water[[#This Row],[Rating]],Guidance!$A$11:$C$15,3,0),"")</f>
        <v/>
      </c>
      <c r="Q43"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43"/>
      <c r="V43"/>
      <c r="W43"/>
    </row>
    <row r="44" spans="1:23" ht="83.5" customHeight="1" x14ac:dyDescent="0.2">
      <c r="A44" s="12" t="str">
        <f t="shared" si="5"/>
        <v>fill in name of country/state in guidance sheet</v>
      </c>
      <c r="B44" s="12">
        <f t="shared" si="6"/>
        <v>2026</v>
      </c>
      <c r="C44" s="12" t="s">
        <v>92</v>
      </c>
      <c r="D44" s="2" t="str">
        <f t="shared" si="7"/>
        <v>Water</v>
      </c>
      <c r="E44" s="12"/>
      <c r="F44" s="12"/>
      <c r="G44" s="12" t="s">
        <v>100</v>
      </c>
      <c r="H44" s="12">
        <v>39</v>
      </c>
      <c r="I44" s="11" t="str">
        <f>IF(tblNational_water[[#This Row],[Code]]&gt;9.99,LEFT(tblNational_water[[#This Row],[Code]],2),LEFT(tblNational_water[[#This Row],[Code]],1))</f>
        <v>6</v>
      </c>
      <c r="J44" s="74" t="s">
        <v>110</v>
      </c>
      <c r="K44" s="76">
        <v>6.6</v>
      </c>
      <c r="L44" s="91" t="s">
        <v>149</v>
      </c>
      <c r="M44" s="95"/>
      <c r="N44" s="73"/>
      <c r="O44" s="73"/>
      <c r="P44" s="119" t="str">
        <f>IFERROR(VLOOKUP(tblNational_water[[#This Row],[Rating]],Guidance!$A$11:$C$15,3,0),"")</f>
        <v/>
      </c>
      <c r="Q44"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44"/>
      <c r="V44"/>
      <c r="W44"/>
    </row>
    <row r="45" spans="1:23" ht="83.5" customHeight="1" x14ac:dyDescent="0.2">
      <c r="A45" s="12" t="str">
        <f t="shared" si="5"/>
        <v>fill in name of country/state in guidance sheet</v>
      </c>
      <c r="B45" s="12">
        <f t="shared" si="6"/>
        <v>2026</v>
      </c>
      <c r="C45" s="12" t="s">
        <v>92</v>
      </c>
      <c r="D45" s="2" t="str">
        <f t="shared" si="7"/>
        <v>Water</v>
      </c>
      <c r="E45" s="12" t="s">
        <v>100</v>
      </c>
      <c r="F45" s="12"/>
      <c r="G45" s="12"/>
      <c r="H45" s="12">
        <v>40</v>
      </c>
      <c r="I45" s="11" t="str">
        <f>IF(tblNational_water[[#This Row],[Code]]&gt;9.99,LEFT(tblNational_water[[#This Row],[Code]],2),LEFT(tblNational_water[[#This Row],[Code]],1))</f>
        <v>6</v>
      </c>
      <c r="J45" s="74" t="s">
        <v>110</v>
      </c>
      <c r="K45" s="78">
        <v>6.7</v>
      </c>
      <c r="L45" s="80" t="s">
        <v>150</v>
      </c>
      <c r="M45" s="95"/>
      <c r="N45" s="73"/>
      <c r="O45" s="73"/>
      <c r="P45" s="121" t="str">
        <f>IFERROR(VLOOKUP(tblNational_water[[#This Row],[Rating]],Guidance!$A$11:$C$15,3,0),"")</f>
        <v/>
      </c>
      <c r="Q45" s="116"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45"/>
      <c r="V45"/>
      <c r="W45"/>
    </row>
    <row r="46" spans="1:23" ht="83.5" customHeight="1" x14ac:dyDescent="0.2">
      <c r="A46" s="12" t="str">
        <f t="shared" si="5"/>
        <v>fill in name of country/state in guidance sheet</v>
      </c>
      <c r="B46" s="12">
        <f t="shared" si="6"/>
        <v>2026</v>
      </c>
      <c r="C46" s="12" t="s">
        <v>86</v>
      </c>
      <c r="D46" s="2" t="str">
        <f t="shared" si="7"/>
        <v>Water</v>
      </c>
      <c r="E46" s="12"/>
      <c r="F46" s="12"/>
      <c r="G46" s="12"/>
      <c r="H46" s="12">
        <v>41</v>
      </c>
      <c r="I46" s="11" t="str">
        <f>IF(tblNational_water[[#This Row],[Code]]&gt;9.99,LEFT(tblNational_water[[#This Row],[Code]],2),LEFT(tblNational_water[[#This Row],[Code]],1))</f>
        <v>7</v>
      </c>
      <c r="J46" s="133" t="s">
        <v>112</v>
      </c>
      <c r="K46" s="139">
        <v>7</v>
      </c>
      <c r="L46" s="134" t="s">
        <v>151</v>
      </c>
      <c r="M46" s="123"/>
      <c r="N46" s="126"/>
      <c r="O46" s="126"/>
      <c r="P46" s="124" t="str">
        <f>IFERROR(VLOOKUP(tblNational_water[[#This Row],[Rating]],Guidance!$A$11:$C$15,3,0),"")</f>
        <v/>
      </c>
      <c r="Q46"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46"/>
      <c r="V46"/>
      <c r="W46"/>
    </row>
    <row r="47" spans="1:23" ht="83.5" customHeight="1" x14ac:dyDescent="0.2">
      <c r="A47" s="12" t="str">
        <f t="shared" si="5"/>
        <v>fill in name of country/state in guidance sheet</v>
      </c>
      <c r="B47" s="12">
        <f t="shared" si="6"/>
        <v>2026</v>
      </c>
      <c r="C47" s="12" t="s">
        <v>92</v>
      </c>
      <c r="D47" s="2" t="str">
        <f t="shared" si="7"/>
        <v>Water</v>
      </c>
      <c r="E47" s="12"/>
      <c r="F47" s="12" t="s">
        <v>100</v>
      </c>
      <c r="G47" s="12" t="s">
        <v>126</v>
      </c>
      <c r="H47" s="12">
        <v>42</v>
      </c>
      <c r="I47" s="11" t="str">
        <f>IF(tblNational_water[[#This Row],[Code]]&gt;9.99,LEFT(tblNational_water[[#This Row],[Code]],2),LEFT(tblNational_water[[#This Row],[Code]],1))</f>
        <v>7</v>
      </c>
      <c r="J47" s="74" t="s">
        <v>112</v>
      </c>
      <c r="K47" s="78">
        <v>7.1</v>
      </c>
      <c r="L47" s="80" t="s">
        <v>152</v>
      </c>
      <c r="M47" s="95"/>
      <c r="N47" s="73"/>
      <c r="O47" s="73"/>
      <c r="P47" s="129" t="str">
        <f>IFERROR(VLOOKUP(tblNational_water[[#This Row],[Rating]],Guidance!$A$11:$C$15,3,0),"")</f>
        <v/>
      </c>
      <c r="Q47"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47"/>
      <c r="V47"/>
      <c r="W47"/>
    </row>
    <row r="48" spans="1:23" ht="83.5" customHeight="1" x14ac:dyDescent="0.2">
      <c r="A48" s="12" t="str">
        <f t="shared" si="5"/>
        <v>fill in name of country/state in guidance sheet</v>
      </c>
      <c r="B48" s="12">
        <f t="shared" si="6"/>
        <v>2026</v>
      </c>
      <c r="C48" s="12" t="s">
        <v>92</v>
      </c>
      <c r="D48" s="2" t="str">
        <f t="shared" si="7"/>
        <v>Water</v>
      </c>
      <c r="E48" s="12"/>
      <c r="F48" s="12"/>
      <c r="G48" s="12" t="s">
        <v>100</v>
      </c>
      <c r="H48" s="12">
        <v>43</v>
      </c>
      <c r="I48" s="11" t="str">
        <f>IF(tblNational_water[[#This Row],[Code]]&gt;9.99,LEFT(tblNational_water[[#This Row],[Code]],2),LEFT(tblNational_water[[#This Row],[Code]],1))</f>
        <v>7</v>
      </c>
      <c r="J48" s="74" t="s">
        <v>112</v>
      </c>
      <c r="K48" s="76">
        <v>7.2</v>
      </c>
      <c r="L48" s="80" t="s">
        <v>153</v>
      </c>
      <c r="M48" s="95"/>
      <c r="N48" s="73"/>
      <c r="O48" s="73"/>
      <c r="P48" s="119" t="str">
        <f>IFERROR(VLOOKUP(tblNational_water[[#This Row],[Rating]],Guidance!$A$11:$C$15,3,0),"")</f>
        <v/>
      </c>
      <c r="Q48"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48"/>
      <c r="V48"/>
      <c r="W48"/>
    </row>
    <row r="49" spans="1:23" ht="83.5" customHeight="1" x14ac:dyDescent="0.2">
      <c r="A49" s="12" t="str">
        <f t="shared" si="5"/>
        <v>fill in name of country/state in guidance sheet</v>
      </c>
      <c r="B49" s="12">
        <f t="shared" si="6"/>
        <v>2026</v>
      </c>
      <c r="C49" s="12" t="s">
        <v>92</v>
      </c>
      <c r="D49" s="2" t="str">
        <f t="shared" si="7"/>
        <v>Water</v>
      </c>
      <c r="E49" s="12"/>
      <c r="F49" s="12"/>
      <c r="G49" s="12" t="s">
        <v>126</v>
      </c>
      <c r="H49" s="12">
        <v>44</v>
      </c>
      <c r="I49" s="11" t="str">
        <f>IF(tblNational_water[[#This Row],[Code]]&gt;9.99,LEFT(tblNational_water[[#This Row],[Code]],2),LEFT(tblNational_water[[#This Row],[Code]],1))</f>
        <v>7</v>
      </c>
      <c r="J49" s="74" t="s">
        <v>112</v>
      </c>
      <c r="K49" s="76">
        <v>7.3</v>
      </c>
      <c r="L49" s="77" t="s">
        <v>154</v>
      </c>
      <c r="M49" s="95"/>
      <c r="N49" s="111"/>
      <c r="O49" s="112"/>
      <c r="P49" s="119" t="str">
        <f>IFERROR(VLOOKUP(tblNational_water[[#This Row],[Rating]],Guidance!$A$11:$C$15,3,0),"")</f>
        <v/>
      </c>
      <c r="Q49"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49"/>
      <c r="V49"/>
      <c r="W49"/>
    </row>
    <row r="50" spans="1:23" ht="83.5" customHeight="1" x14ac:dyDescent="0.2">
      <c r="A50" s="12" t="str">
        <f t="shared" si="5"/>
        <v>fill in name of country/state in guidance sheet</v>
      </c>
      <c r="B50" s="12">
        <f t="shared" si="6"/>
        <v>2026</v>
      </c>
      <c r="C50" s="12" t="s">
        <v>92</v>
      </c>
      <c r="D50" s="2" t="str">
        <f t="shared" si="7"/>
        <v>Water</v>
      </c>
      <c r="E50" s="12"/>
      <c r="F50" s="12"/>
      <c r="G50" s="12" t="s">
        <v>100</v>
      </c>
      <c r="H50" s="12">
        <v>45</v>
      </c>
      <c r="I50" s="11" t="str">
        <f>IF(tblNational_water[[#This Row],[Code]]&gt;9.99,LEFT(tblNational_water[[#This Row],[Code]],2),LEFT(tblNational_water[[#This Row],[Code]],1))</f>
        <v>7</v>
      </c>
      <c r="J50" s="74" t="s">
        <v>112</v>
      </c>
      <c r="K50" s="76">
        <v>7.4</v>
      </c>
      <c r="L50" s="81" t="s">
        <v>155</v>
      </c>
      <c r="M50" s="95"/>
      <c r="N50" s="73"/>
      <c r="O50" s="73"/>
      <c r="P50" s="119" t="str">
        <f>IFERROR(VLOOKUP(tblNational_water[[#This Row],[Rating]],Guidance!$A$11:$C$15,3,0),"")</f>
        <v/>
      </c>
      <c r="Q50"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50"/>
      <c r="V50"/>
      <c r="W50"/>
    </row>
    <row r="51" spans="1:23" ht="83.5" customHeight="1" x14ac:dyDescent="0.2">
      <c r="A51" s="12" t="str">
        <f t="shared" si="5"/>
        <v>fill in name of country/state in guidance sheet</v>
      </c>
      <c r="B51" s="12">
        <f t="shared" si="6"/>
        <v>2026</v>
      </c>
      <c r="C51" s="12" t="s">
        <v>92</v>
      </c>
      <c r="D51" s="2" t="str">
        <f t="shared" si="7"/>
        <v>Water</v>
      </c>
      <c r="E51" s="12" t="s">
        <v>100</v>
      </c>
      <c r="F51" s="12"/>
      <c r="G51" s="12" t="s">
        <v>126</v>
      </c>
      <c r="H51" s="12">
        <v>46</v>
      </c>
      <c r="I51" s="11" t="str">
        <f>IF(tblNational_water[[#This Row],[Code]]&gt;9.99,LEFT(tblNational_water[[#This Row],[Code]],2),LEFT(tblNational_water[[#This Row],[Code]],1))</f>
        <v>7</v>
      </c>
      <c r="J51" s="74" t="s">
        <v>112</v>
      </c>
      <c r="K51" s="76">
        <v>7.5</v>
      </c>
      <c r="L51" s="110" t="s">
        <v>156</v>
      </c>
      <c r="M51" s="95"/>
      <c r="N51" s="73"/>
      <c r="O51" s="73"/>
      <c r="P51" s="121" t="str">
        <f>IFERROR(VLOOKUP(tblNational_water[[#This Row],[Rating]],Guidance!$A$11:$C$15,3,0),"")</f>
        <v/>
      </c>
      <c r="Q51"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51"/>
      <c r="V51"/>
      <c r="W51"/>
    </row>
    <row r="52" spans="1:23" ht="83.5" customHeight="1" x14ac:dyDescent="0.2">
      <c r="A52" s="12" t="str">
        <f t="shared" si="5"/>
        <v>fill in name of country/state in guidance sheet</v>
      </c>
      <c r="B52" s="12">
        <f t="shared" si="6"/>
        <v>2026</v>
      </c>
      <c r="C52" s="12" t="s">
        <v>86</v>
      </c>
      <c r="D52" s="2" t="str">
        <f t="shared" si="7"/>
        <v>Water</v>
      </c>
      <c r="E52" s="12"/>
      <c r="F52" s="12"/>
      <c r="G52" s="12"/>
      <c r="H52" s="12">
        <v>47</v>
      </c>
      <c r="I52" s="11" t="str">
        <f>IF(tblNational_water[[#This Row],[Code]]&gt;9.99,LEFT(tblNational_water[[#This Row],[Code]],2),LEFT(tblNational_water[[#This Row],[Code]],1))</f>
        <v>8</v>
      </c>
      <c r="J52" s="133" t="s">
        <v>157</v>
      </c>
      <c r="K52" s="139">
        <v>8</v>
      </c>
      <c r="L52" s="134" t="s">
        <v>158</v>
      </c>
      <c r="M52" s="123"/>
      <c r="N52" s="126"/>
      <c r="O52" s="126"/>
      <c r="P52" s="124" t="str">
        <f>IFERROR(VLOOKUP(tblNational_water[[#This Row],[Rating]],Guidance!$A$11:$C$15,3,0),"")</f>
        <v/>
      </c>
      <c r="Q52"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52"/>
      <c r="V52"/>
      <c r="W52"/>
    </row>
    <row r="53" spans="1:23" ht="83.5" customHeight="1" x14ac:dyDescent="0.2">
      <c r="A53" s="12" t="str">
        <f t="shared" si="5"/>
        <v>fill in name of country/state in guidance sheet</v>
      </c>
      <c r="B53" s="12">
        <f t="shared" si="6"/>
        <v>2026</v>
      </c>
      <c r="C53" s="12" t="s">
        <v>92</v>
      </c>
      <c r="D53" s="2" t="str">
        <f t="shared" si="7"/>
        <v>Water</v>
      </c>
      <c r="E53" s="12"/>
      <c r="F53" s="12"/>
      <c r="G53" s="12" t="s">
        <v>126</v>
      </c>
      <c r="H53" s="12">
        <v>48</v>
      </c>
      <c r="I53" s="11" t="str">
        <f>IF(tblNational_water[[#This Row],[Code]]&gt;9.99,LEFT(tblNational_water[[#This Row],[Code]],2),LEFT(tblNational_water[[#This Row],[Code]],1))</f>
        <v>8</v>
      </c>
      <c r="J53" s="74" t="s">
        <v>157</v>
      </c>
      <c r="K53" s="76">
        <v>8.1</v>
      </c>
      <c r="L53" s="80" t="s">
        <v>159</v>
      </c>
      <c r="M53" s="95"/>
      <c r="N53" s="73"/>
      <c r="O53" s="73"/>
      <c r="P53" s="129" t="str">
        <f>IFERROR(VLOOKUP(tblNational_water[[#This Row],[Rating]],Guidance!$A$11:$C$15,3,0),"")</f>
        <v/>
      </c>
      <c r="Q53" s="117"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53"/>
      <c r="V53"/>
      <c r="W53"/>
    </row>
    <row r="54" spans="1:23" ht="83.5" customHeight="1" x14ac:dyDescent="0.2">
      <c r="A54" s="12" t="str">
        <f t="shared" si="5"/>
        <v>fill in name of country/state in guidance sheet</v>
      </c>
      <c r="B54" s="12">
        <f t="shared" si="6"/>
        <v>2026</v>
      </c>
      <c r="C54" s="12" t="s">
        <v>92</v>
      </c>
      <c r="D54" s="2" t="str">
        <f t="shared" si="7"/>
        <v>Water</v>
      </c>
      <c r="E54" s="12"/>
      <c r="F54" s="12"/>
      <c r="G54" s="12" t="s">
        <v>126</v>
      </c>
      <c r="H54" s="12">
        <v>49</v>
      </c>
      <c r="I54" s="11" t="str">
        <f>IF(tblNational_water[[#This Row],[Code]]&gt;9.99,LEFT(tblNational_water[[#This Row],[Code]],2),LEFT(tblNational_water[[#This Row],[Code]],1))</f>
        <v>8</v>
      </c>
      <c r="J54" s="74" t="s">
        <v>157</v>
      </c>
      <c r="K54" s="76">
        <v>8.1999999999999993</v>
      </c>
      <c r="L54" s="80" t="s">
        <v>160</v>
      </c>
      <c r="M54" s="95"/>
      <c r="N54" s="73"/>
      <c r="O54" s="73"/>
      <c r="P54" s="119" t="str">
        <f>IFERROR(VLOOKUP(tblNational_water[[#This Row],[Rating]],Guidance!$A$11:$C$15,3,0),"")</f>
        <v/>
      </c>
      <c r="Q54"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54"/>
      <c r="V54"/>
      <c r="W54"/>
    </row>
    <row r="55" spans="1:23" ht="83.5" customHeight="1" x14ac:dyDescent="0.2">
      <c r="A55" s="12" t="str">
        <f t="shared" si="5"/>
        <v>fill in name of country/state in guidance sheet</v>
      </c>
      <c r="B55" s="12">
        <f t="shared" si="6"/>
        <v>2026</v>
      </c>
      <c r="C55" s="12" t="s">
        <v>92</v>
      </c>
      <c r="D55" s="2" t="str">
        <f t="shared" si="7"/>
        <v>Water</v>
      </c>
      <c r="E55" s="12"/>
      <c r="F55" s="12"/>
      <c r="G55" s="12" t="s">
        <v>126</v>
      </c>
      <c r="H55" s="12">
        <v>50</v>
      </c>
      <c r="I55" s="11" t="str">
        <f>IF(tblNational_water[[#This Row],[Code]]&gt;9.99,LEFT(tblNational_water[[#This Row],[Code]],2),LEFT(tblNational_water[[#This Row],[Code]],1))</f>
        <v>8</v>
      </c>
      <c r="J55" s="74" t="s">
        <v>157</v>
      </c>
      <c r="K55" s="76">
        <v>8.3000000000000007</v>
      </c>
      <c r="L55" s="77" t="s">
        <v>161</v>
      </c>
      <c r="M55" s="95"/>
      <c r="N55" s="111"/>
      <c r="O55" s="112"/>
      <c r="P55" s="119" t="str">
        <f>IFERROR(VLOOKUP(tblNational_water[[#This Row],[Rating]],Guidance!$A$11:$C$15,3,0),"")</f>
        <v/>
      </c>
      <c r="Q55"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55"/>
      <c r="V55"/>
      <c r="W55"/>
    </row>
    <row r="56" spans="1:23" ht="83.5" customHeight="1" x14ac:dyDescent="0.2">
      <c r="A56" s="12" t="str">
        <f t="shared" si="5"/>
        <v>fill in name of country/state in guidance sheet</v>
      </c>
      <c r="B56" s="12">
        <f t="shared" si="6"/>
        <v>2026</v>
      </c>
      <c r="C56" s="12" t="s">
        <v>92</v>
      </c>
      <c r="D56" s="2" t="str">
        <f t="shared" si="7"/>
        <v>Water</v>
      </c>
      <c r="E56" s="12"/>
      <c r="F56" s="12"/>
      <c r="G56" s="12" t="s">
        <v>126</v>
      </c>
      <c r="H56" s="12">
        <v>51</v>
      </c>
      <c r="I56" s="11" t="str">
        <f>IF(tblNational_water[[#This Row],[Code]]&gt;9.99,LEFT(tblNational_water[[#This Row],[Code]],2),LEFT(tblNational_water[[#This Row],[Code]],1))</f>
        <v>8</v>
      </c>
      <c r="J56" s="74" t="s">
        <v>157</v>
      </c>
      <c r="K56" s="76">
        <v>8.4</v>
      </c>
      <c r="L56" s="80" t="s">
        <v>162</v>
      </c>
      <c r="M56" s="95"/>
      <c r="N56" s="73"/>
      <c r="O56" s="73"/>
      <c r="P56" s="119" t="str">
        <f>IFERROR(VLOOKUP(tblNational_water[[#This Row],[Rating]],Guidance!$A$11:$C$15,3,0),"")</f>
        <v/>
      </c>
      <c r="Q56"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56"/>
      <c r="V56"/>
      <c r="W56"/>
    </row>
    <row r="57" spans="1:23" ht="83.5" customHeight="1" x14ac:dyDescent="0.2">
      <c r="A57" s="12" t="str">
        <f t="shared" si="5"/>
        <v>fill in name of country/state in guidance sheet</v>
      </c>
      <c r="B57" s="12">
        <f t="shared" si="6"/>
        <v>2026</v>
      </c>
      <c r="C57" s="12" t="s">
        <v>92</v>
      </c>
      <c r="D57" s="2" t="str">
        <f t="shared" si="7"/>
        <v>Water</v>
      </c>
      <c r="E57" s="12"/>
      <c r="F57" s="12"/>
      <c r="G57" s="12" t="s">
        <v>100</v>
      </c>
      <c r="H57" s="12">
        <v>52</v>
      </c>
      <c r="I57" s="11" t="str">
        <f>IF(tblNational_water[[#This Row],[Code]]&gt;9.99,LEFT(tblNational_water[[#This Row],[Code]],2),LEFT(tblNational_water[[#This Row],[Code]],1))</f>
        <v>8</v>
      </c>
      <c r="J57" s="74" t="s">
        <v>157</v>
      </c>
      <c r="K57" s="76">
        <v>8.5</v>
      </c>
      <c r="L57" s="80" t="s">
        <v>163</v>
      </c>
      <c r="M57" s="95"/>
      <c r="N57" s="73"/>
      <c r="O57" s="73"/>
      <c r="P57" s="119" t="str">
        <f>IFERROR(VLOOKUP(tblNational_water[[#This Row],[Rating]],Guidance!$A$11:$C$15,3,0),"")</f>
        <v/>
      </c>
      <c r="Q57"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57"/>
      <c r="V57"/>
      <c r="W57"/>
    </row>
    <row r="58" spans="1:23" ht="83.5" customHeight="1" x14ac:dyDescent="0.2">
      <c r="A58" s="12" t="str">
        <f t="shared" si="5"/>
        <v>fill in name of country/state in guidance sheet</v>
      </c>
      <c r="B58" s="12">
        <f t="shared" si="6"/>
        <v>2026</v>
      </c>
      <c r="C58" s="12" t="s">
        <v>92</v>
      </c>
      <c r="D58" s="2" t="str">
        <f t="shared" si="7"/>
        <v>Water</v>
      </c>
      <c r="E58" s="12" t="s">
        <v>100</v>
      </c>
      <c r="F58" s="12"/>
      <c r="G58" s="12"/>
      <c r="H58" s="12">
        <v>53</v>
      </c>
      <c r="I58" s="11" t="str">
        <f>IF(tblNational_water[[#This Row],[Code]]&gt;9.99,LEFT(tblNational_water[[#This Row],[Code]],2),LEFT(tblNational_water[[#This Row],[Code]],1))</f>
        <v>8</v>
      </c>
      <c r="J58" s="74" t="s">
        <v>157</v>
      </c>
      <c r="K58" s="76">
        <v>8.6</v>
      </c>
      <c r="L58" s="80" t="s">
        <v>164</v>
      </c>
      <c r="M58" s="95"/>
      <c r="N58" s="73"/>
      <c r="O58" s="73"/>
      <c r="P58" s="121" t="str">
        <f>IFERROR(VLOOKUP(tblNational_water[[#This Row],[Rating]],Guidance!$A$11:$C$15,3,0),"")</f>
        <v/>
      </c>
      <c r="Q58" s="116"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58"/>
      <c r="V58"/>
      <c r="W58"/>
    </row>
    <row r="59" spans="1:23" ht="83.5" customHeight="1" x14ac:dyDescent="0.2">
      <c r="A59" s="12" t="str">
        <f t="shared" si="5"/>
        <v>fill in name of country/state in guidance sheet</v>
      </c>
      <c r="B59" s="12">
        <f t="shared" si="6"/>
        <v>2026</v>
      </c>
      <c r="C59" s="12" t="s">
        <v>86</v>
      </c>
      <c r="D59" s="2" t="str">
        <f t="shared" si="7"/>
        <v>Water</v>
      </c>
      <c r="E59" s="12"/>
      <c r="F59" s="12"/>
      <c r="G59" s="12"/>
      <c r="H59" s="12">
        <v>54</v>
      </c>
      <c r="I59" s="11" t="str">
        <f>IF(tblNational_water[[#This Row],[Code]]&gt;9.99,LEFT(tblNational_water[[#This Row],[Code]],2),LEFT(tblNational_water[[#This Row],[Code]],1))</f>
        <v>9</v>
      </c>
      <c r="J59" s="133" t="s">
        <v>165</v>
      </c>
      <c r="K59" s="139">
        <v>9</v>
      </c>
      <c r="L59" s="134" t="s">
        <v>166</v>
      </c>
      <c r="M59" s="123"/>
      <c r="N59" s="126"/>
      <c r="O59" s="126"/>
      <c r="P59" s="124" t="str">
        <f>IFERROR(VLOOKUP(tblNational_water[[#This Row],[Rating]],Guidance!$A$11:$C$15,3,0),"")</f>
        <v/>
      </c>
      <c r="Q59"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59"/>
      <c r="V59"/>
      <c r="W59"/>
    </row>
    <row r="60" spans="1:23" ht="83.5" customHeight="1" x14ac:dyDescent="0.2">
      <c r="A60" s="12" t="str">
        <f t="shared" si="5"/>
        <v>fill in name of country/state in guidance sheet</v>
      </c>
      <c r="B60" s="12">
        <f t="shared" si="6"/>
        <v>2026</v>
      </c>
      <c r="C60" s="12" t="s">
        <v>92</v>
      </c>
      <c r="D60" s="2" t="str">
        <f t="shared" si="7"/>
        <v>Water</v>
      </c>
      <c r="E60" s="12"/>
      <c r="F60" s="12" t="s">
        <v>100</v>
      </c>
      <c r="G60" s="12" t="s">
        <v>126</v>
      </c>
      <c r="H60" s="12">
        <v>55</v>
      </c>
      <c r="I60" s="11" t="str">
        <f>IF(tblNational_water[[#This Row],[Code]]&gt;9.99,LEFT(tblNational_water[[#This Row],[Code]],2),LEFT(tblNational_water[[#This Row],[Code]],1))</f>
        <v>9</v>
      </c>
      <c r="J60" s="74" t="s">
        <v>165</v>
      </c>
      <c r="K60" s="76">
        <v>9.1</v>
      </c>
      <c r="L60" s="80" t="s">
        <v>167</v>
      </c>
      <c r="M60" s="95"/>
      <c r="N60" s="73"/>
      <c r="O60" s="73"/>
      <c r="P60" s="129" t="str">
        <f>IFERROR(VLOOKUP(tblNational_water[[#This Row],[Rating]],Guidance!$A$11:$C$15,3,0),"")</f>
        <v/>
      </c>
      <c r="Q60" s="117"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60"/>
      <c r="V60"/>
      <c r="W60"/>
    </row>
    <row r="61" spans="1:23" ht="83.5" customHeight="1" x14ac:dyDescent="0.2">
      <c r="A61" s="12" t="str">
        <f t="shared" si="5"/>
        <v>fill in name of country/state in guidance sheet</v>
      </c>
      <c r="B61" s="12">
        <f t="shared" si="6"/>
        <v>2026</v>
      </c>
      <c r="C61" s="12" t="s">
        <v>92</v>
      </c>
      <c r="D61" s="2" t="str">
        <f t="shared" si="7"/>
        <v>Water</v>
      </c>
      <c r="E61" s="12"/>
      <c r="F61" s="12" t="s">
        <v>100</v>
      </c>
      <c r="G61" s="12" t="s">
        <v>126</v>
      </c>
      <c r="H61" s="12">
        <v>56</v>
      </c>
      <c r="I61" s="11" t="str">
        <f>IF(tblNational_water[[#This Row],[Code]]&gt;9.99,LEFT(tblNational_water[[#This Row],[Code]],2),LEFT(tblNational_water[[#This Row],[Code]],1))</f>
        <v>9</v>
      </c>
      <c r="J61" s="74" t="s">
        <v>165</v>
      </c>
      <c r="K61" s="76">
        <v>9.1999999999999993</v>
      </c>
      <c r="L61" s="81" t="s">
        <v>168</v>
      </c>
      <c r="M61" s="95"/>
      <c r="N61" s="73"/>
      <c r="O61" s="73"/>
      <c r="P61" s="119" t="str">
        <f>IFERROR(VLOOKUP(tblNational_water[[#This Row],[Rating]],Guidance!$A$11:$C$15,3,0),"")</f>
        <v/>
      </c>
      <c r="Q61"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61"/>
      <c r="V61"/>
      <c r="W61"/>
    </row>
    <row r="62" spans="1:23" ht="83.5" customHeight="1" x14ac:dyDescent="0.2">
      <c r="A62" s="12" t="str">
        <f t="shared" si="5"/>
        <v>fill in name of country/state in guidance sheet</v>
      </c>
      <c r="B62" s="12">
        <f t="shared" si="6"/>
        <v>2026</v>
      </c>
      <c r="C62" s="12" t="s">
        <v>92</v>
      </c>
      <c r="D62" s="2" t="str">
        <f t="shared" si="7"/>
        <v>Water</v>
      </c>
      <c r="E62" s="12"/>
      <c r="F62" s="12" t="s">
        <v>100</v>
      </c>
      <c r="G62" s="12" t="s">
        <v>126</v>
      </c>
      <c r="H62" s="12">
        <v>57</v>
      </c>
      <c r="I62" s="11" t="str">
        <f>IF(tblNational_water[[#This Row],[Code]]&gt;9.99,LEFT(tblNational_water[[#This Row],[Code]],2),LEFT(tblNational_water[[#This Row],[Code]],1))</f>
        <v>9</v>
      </c>
      <c r="J62" s="74" t="s">
        <v>165</v>
      </c>
      <c r="K62" s="109">
        <v>9.3000000000000007</v>
      </c>
      <c r="L62" s="77" t="s">
        <v>169</v>
      </c>
      <c r="M62" s="95"/>
      <c r="N62" s="111"/>
      <c r="O62" s="112"/>
      <c r="P62" s="119" t="str">
        <f>IFERROR(VLOOKUP(tblNational_water[[#This Row],[Rating]],Guidance!$A$11:$C$15,3,0),"")</f>
        <v/>
      </c>
      <c r="Q62"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62"/>
      <c r="V62"/>
      <c r="W62"/>
    </row>
    <row r="63" spans="1:23" ht="83.5" customHeight="1" x14ac:dyDescent="0.2">
      <c r="A63" s="12" t="str">
        <f t="shared" si="5"/>
        <v>fill in name of country/state in guidance sheet</v>
      </c>
      <c r="B63" s="12">
        <f t="shared" si="6"/>
        <v>2026</v>
      </c>
      <c r="C63" s="12" t="s">
        <v>92</v>
      </c>
      <c r="D63" s="2" t="str">
        <f t="shared" si="7"/>
        <v>Water</v>
      </c>
      <c r="E63" s="12"/>
      <c r="F63" s="12"/>
      <c r="G63" s="12" t="s">
        <v>100</v>
      </c>
      <c r="H63" s="12">
        <v>58</v>
      </c>
      <c r="I63" s="11" t="str">
        <f>IF(tblNational_water[[#This Row],[Code]]&gt;9.99,LEFT(tblNational_water[[#This Row],[Code]],2),LEFT(tblNational_water[[#This Row],[Code]],1))</f>
        <v>9</v>
      </c>
      <c r="J63" s="74" t="s">
        <v>165</v>
      </c>
      <c r="K63" s="76">
        <v>9.4</v>
      </c>
      <c r="L63" s="81" t="s">
        <v>170</v>
      </c>
      <c r="M63" s="95"/>
      <c r="N63" s="73"/>
      <c r="O63" s="73"/>
      <c r="P63" s="119" t="str">
        <f>IFERROR(VLOOKUP(tblNational_water[[#This Row],[Rating]],Guidance!$A$11:$C$15,3,0),"")</f>
        <v/>
      </c>
      <c r="Q63"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63"/>
      <c r="V63"/>
      <c r="W63"/>
    </row>
    <row r="64" spans="1:23" ht="83.5" customHeight="1" x14ac:dyDescent="0.2">
      <c r="A64" s="12" t="str">
        <f t="shared" si="5"/>
        <v>fill in name of country/state in guidance sheet</v>
      </c>
      <c r="B64" s="12">
        <f t="shared" si="6"/>
        <v>2026</v>
      </c>
      <c r="C64" s="12" t="s">
        <v>92</v>
      </c>
      <c r="D64" s="2" t="str">
        <f t="shared" si="7"/>
        <v>Water</v>
      </c>
      <c r="E64" s="12" t="s">
        <v>100</v>
      </c>
      <c r="F64" s="12"/>
      <c r="G64" s="12"/>
      <c r="H64" s="12">
        <v>59</v>
      </c>
      <c r="I64" s="11" t="str">
        <f>IF(tblNational_water[[#This Row],[Code]]&gt;9.99,LEFT(tblNational_water[[#This Row],[Code]],2),LEFT(tblNational_water[[#This Row],[Code]],1))</f>
        <v>9</v>
      </c>
      <c r="J64" s="74" t="s">
        <v>165</v>
      </c>
      <c r="K64" s="76">
        <v>9.5</v>
      </c>
      <c r="L64" s="81" t="s">
        <v>171</v>
      </c>
      <c r="M64" s="95"/>
      <c r="N64" s="73"/>
      <c r="O64" s="73"/>
      <c r="P64" s="121" t="str">
        <f>IFERROR(VLOOKUP(tblNational_water[[#This Row],[Rating]],Guidance!$A$11:$C$15,3,0),"")</f>
        <v/>
      </c>
      <c r="Q64" s="116"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64"/>
      <c r="V64"/>
      <c r="W64"/>
    </row>
    <row r="65" spans="1:23" ht="83.5" customHeight="1" x14ac:dyDescent="0.2">
      <c r="A65" s="12" t="str">
        <f t="shared" si="5"/>
        <v>fill in name of country/state in guidance sheet</v>
      </c>
      <c r="B65" s="12">
        <f t="shared" si="6"/>
        <v>2026</v>
      </c>
      <c r="C65" s="12" t="s">
        <v>86</v>
      </c>
      <c r="D65" s="2" t="str">
        <f t="shared" si="7"/>
        <v>Water</v>
      </c>
      <c r="E65" s="12"/>
      <c r="F65" s="12"/>
      <c r="G65" s="12"/>
      <c r="H65" s="12">
        <v>60</v>
      </c>
      <c r="I65" s="11" t="str">
        <f>IF(tblNational_water[[#This Row],[Code]]&gt;9.99,LEFT(tblNational_water[[#This Row],[Code]],2),LEFT(tblNational_water[[#This Row],[Code]],1))</f>
        <v>10</v>
      </c>
      <c r="J65" s="133" t="s">
        <v>172</v>
      </c>
      <c r="K65" s="139">
        <v>10</v>
      </c>
      <c r="L65" s="136" t="s">
        <v>173</v>
      </c>
      <c r="M65" s="123"/>
      <c r="N65" s="126"/>
      <c r="O65" s="126"/>
      <c r="P65" s="124" t="str">
        <f>IFERROR(VLOOKUP(tblNational_water[[#This Row],[Rating]],Guidance!$A$11:$C$15,3,0),"")</f>
        <v/>
      </c>
      <c r="Q65"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65"/>
      <c r="V65"/>
      <c r="W65"/>
    </row>
    <row r="66" spans="1:23" ht="83.5" customHeight="1" x14ac:dyDescent="0.2">
      <c r="A66" s="12" t="str">
        <f t="shared" si="5"/>
        <v>fill in name of country/state in guidance sheet</v>
      </c>
      <c r="B66" s="12">
        <f t="shared" si="6"/>
        <v>2026</v>
      </c>
      <c r="C66" s="12" t="s">
        <v>92</v>
      </c>
      <c r="D66" s="2" t="str">
        <f t="shared" si="7"/>
        <v>Water</v>
      </c>
      <c r="E66" s="12"/>
      <c r="F66" s="12"/>
      <c r="G66" s="12"/>
      <c r="H66" s="12">
        <v>61</v>
      </c>
      <c r="I66" s="11" t="str">
        <f>IF(tblNational_water[[#This Row],[Code]]&gt;9.99,LEFT(tblNational_water[[#This Row],[Code]],2),LEFT(tblNational_water[[#This Row],[Code]],1))</f>
        <v>10</v>
      </c>
      <c r="J66" s="74" t="s">
        <v>172</v>
      </c>
      <c r="K66" s="76">
        <v>10.1</v>
      </c>
      <c r="L66" s="79" t="s">
        <v>174</v>
      </c>
      <c r="M66" s="95"/>
      <c r="N66" s="73"/>
      <c r="O66" s="73"/>
      <c r="P66" s="129" t="str">
        <f>IFERROR(VLOOKUP(tblNational_water[[#This Row],[Rating]],Guidance!$A$11:$C$15,3,0),"")</f>
        <v/>
      </c>
      <c r="Q66" s="117"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66"/>
      <c r="V66"/>
      <c r="W66"/>
    </row>
    <row r="67" spans="1:23" ht="83.5" customHeight="1" x14ac:dyDescent="0.2">
      <c r="A67" s="12" t="str">
        <f t="shared" si="5"/>
        <v>fill in name of country/state in guidance sheet</v>
      </c>
      <c r="B67" s="12">
        <f t="shared" si="6"/>
        <v>2026</v>
      </c>
      <c r="C67" s="12" t="s">
        <v>92</v>
      </c>
      <c r="D67" s="2" t="str">
        <f t="shared" si="7"/>
        <v>Water</v>
      </c>
      <c r="E67" s="12"/>
      <c r="F67" s="12" t="s">
        <v>100</v>
      </c>
      <c r="G67" s="12"/>
      <c r="H67" s="12">
        <v>62</v>
      </c>
      <c r="I67" s="11" t="str">
        <f>IF(tblNational_water[[#This Row],[Code]]&gt;9.99,LEFT(tblNational_water[[#This Row],[Code]],2),LEFT(tblNational_water[[#This Row],[Code]],1))</f>
        <v>10</v>
      </c>
      <c r="J67" s="82" t="s">
        <v>172</v>
      </c>
      <c r="K67" s="76">
        <v>10.199999999999999</v>
      </c>
      <c r="L67" s="94" t="s">
        <v>175</v>
      </c>
      <c r="M67" s="95"/>
      <c r="N67" s="73"/>
      <c r="O67" s="73"/>
      <c r="P67" s="119" t="str">
        <f>IFERROR(VLOOKUP(tblNational_water[[#This Row],[Rating]],Guidance!$A$11:$C$15,3,0),"")</f>
        <v/>
      </c>
      <c r="Q67"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67"/>
      <c r="V67"/>
      <c r="W67"/>
    </row>
    <row r="68" spans="1:23" ht="83.5" customHeight="1" x14ac:dyDescent="0.2">
      <c r="A68" s="12" t="str">
        <f t="shared" si="5"/>
        <v>fill in name of country/state in guidance sheet</v>
      </c>
      <c r="B68" s="12">
        <f t="shared" si="6"/>
        <v>2026</v>
      </c>
      <c r="C68" s="12" t="s">
        <v>92</v>
      </c>
      <c r="D68" s="2" t="str">
        <f t="shared" si="7"/>
        <v>Water</v>
      </c>
      <c r="E68" s="12"/>
      <c r="F68" s="12"/>
      <c r="G68" s="12"/>
      <c r="H68" s="12">
        <v>63</v>
      </c>
      <c r="I68" s="11" t="str">
        <f>IF(tblNational_water[[#This Row],[Code]]&gt;9.99,LEFT(tblNational_water[[#This Row],[Code]],2),LEFT(tblNational_water[[#This Row],[Code]],1))</f>
        <v>10</v>
      </c>
      <c r="J68" s="82" t="s">
        <v>172</v>
      </c>
      <c r="K68" s="76">
        <v>10.3</v>
      </c>
      <c r="L68" s="77" t="s">
        <v>176</v>
      </c>
      <c r="M68" s="95"/>
      <c r="N68" s="111"/>
      <c r="O68" s="112"/>
      <c r="P68" s="119" t="str">
        <f>IFERROR(VLOOKUP(tblNational_water[[#This Row],[Rating]],Guidance!$A$11:$C$15,3,0),"")</f>
        <v/>
      </c>
      <c r="Q68"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68"/>
      <c r="V68"/>
      <c r="W68"/>
    </row>
    <row r="69" spans="1:23" ht="83.5" customHeight="1" x14ac:dyDescent="0.2">
      <c r="A69" s="12" t="str">
        <f t="shared" si="5"/>
        <v>fill in name of country/state in guidance sheet</v>
      </c>
      <c r="B69" s="12">
        <f t="shared" si="6"/>
        <v>2026</v>
      </c>
      <c r="C69" s="12" t="s">
        <v>92</v>
      </c>
      <c r="D69" s="2" t="str">
        <f t="shared" si="7"/>
        <v>Water</v>
      </c>
      <c r="E69" s="12"/>
      <c r="F69" s="12"/>
      <c r="G69" s="12" t="s">
        <v>100</v>
      </c>
      <c r="H69" s="12">
        <v>64</v>
      </c>
      <c r="I69" s="11" t="str">
        <f>IF(tblNational_water[[#This Row],[Code]]&gt;9.99,LEFT(tblNational_water[[#This Row],[Code]],2),LEFT(tblNational_water[[#This Row],[Code]],1))</f>
        <v>10</v>
      </c>
      <c r="J69" s="82" t="s">
        <v>172</v>
      </c>
      <c r="K69" s="76">
        <v>10.4</v>
      </c>
      <c r="L69" s="80" t="s">
        <v>177</v>
      </c>
      <c r="M69" s="95"/>
      <c r="N69" s="73"/>
      <c r="O69" s="73"/>
      <c r="P69" s="119" t="str">
        <f>IFERROR(VLOOKUP(tblNational_water[[#This Row],[Rating]],Guidance!$A$11:$C$15,3,0),"")</f>
        <v/>
      </c>
      <c r="Q69" s="11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69"/>
      <c r="V69"/>
      <c r="W69"/>
    </row>
    <row r="70" spans="1:23" ht="83.5" customHeight="1" x14ac:dyDescent="0.2">
      <c r="A70" s="12" t="str">
        <f t="shared" si="5"/>
        <v>fill in name of country/state in guidance sheet</v>
      </c>
      <c r="B70" s="12">
        <f t="shared" si="6"/>
        <v>2026</v>
      </c>
      <c r="C70" s="12" t="s">
        <v>92</v>
      </c>
      <c r="D70" s="2" t="str">
        <f t="shared" si="7"/>
        <v>Water</v>
      </c>
      <c r="E70" s="12" t="s">
        <v>100</v>
      </c>
      <c r="F70" s="12"/>
      <c r="G70" s="12"/>
      <c r="H70" s="12">
        <v>65</v>
      </c>
      <c r="I70" s="11" t="str">
        <f>IF(tblNational_water[[#This Row],[Code]]&gt;9.99,LEFT(tblNational_water[[#This Row],[Code]],2),LEFT(tblNational_water[[#This Row],[Code]],1))</f>
        <v>10</v>
      </c>
      <c r="J70" s="82" t="s">
        <v>172</v>
      </c>
      <c r="K70" s="76">
        <v>10.5</v>
      </c>
      <c r="L70" s="92" t="s">
        <v>178</v>
      </c>
      <c r="M70" s="95"/>
      <c r="N70" s="73"/>
      <c r="O70" s="73"/>
      <c r="P70" s="121" t="str">
        <f>IFERROR(VLOOKUP(tblNational_water[[#This Row],[Rating]],Guidance!$A$11:$C$15,3,0),"")</f>
        <v/>
      </c>
      <c r="Q70" s="116"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70"/>
      <c r="V70"/>
      <c r="W70"/>
    </row>
    <row r="71" spans="1:23" ht="83.5" customHeight="1" x14ac:dyDescent="0.2">
      <c r="A71" s="12" t="str">
        <f t="shared" si="5"/>
        <v>fill in name of country/state in guidance sheet</v>
      </c>
      <c r="B71" s="12">
        <f t="shared" si="6"/>
        <v>2026</v>
      </c>
      <c r="C71" s="12" t="s">
        <v>86</v>
      </c>
      <c r="D71" s="2" t="str">
        <f t="shared" si="7"/>
        <v>Water</v>
      </c>
      <c r="E71" s="12"/>
      <c r="F71" s="12"/>
      <c r="G71" s="12"/>
      <c r="H71" s="12">
        <v>101</v>
      </c>
      <c r="I71" s="11" t="str">
        <f>IF(tblNational_water[[#This Row],[Code]]&gt;9.99,LEFT(tblNational_water[[#This Row],[Code]],2),LEFT(tblNational_water[[#This Row],[Code]],1))</f>
        <v>In</v>
      </c>
      <c r="J71" s="134" t="s">
        <v>179</v>
      </c>
      <c r="K71" s="139" t="s">
        <v>90</v>
      </c>
      <c r="L71" s="134" t="s">
        <v>180</v>
      </c>
      <c r="M71" s="123"/>
      <c r="N71" s="126"/>
      <c r="O71" s="126"/>
      <c r="P71" s="124" t="str">
        <f>IFERROR(VLOOKUP(tblNational_water[[#This Row],[Rating]],Guidance!$A$11:$C$15,3,0),"")</f>
        <v/>
      </c>
      <c r="Q71"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71"/>
      <c r="V71"/>
      <c r="W71"/>
    </row>
    <row r="72" spans="1:23" ht="83.5" customHeight="1" x14ac:dyDescent="0.2">
      <c r="A72" s="12" t="str">
        <f t="shared" si="5"/>
        <v>fill in name of country/state in guidance sheet</v>
      </c>
      <c r="B72" s="12">
        <f t="shared" si="6"/>
        <v>2026</v>
      </c>
      <c r="C72" s="12" t="s">
        <v>86</v>
      </c>
      <c r="D72" s="2" t="str">
        <f t="shared" si="7"/>
        <v>Water</v>
      </c>
      <c r="E72" s="12"/>
      <c r="F72" s="12"/>
      <c r="G72" s="12"/>
      <c r="H72" s="12">
        <v>102</v>
      </c>
      <c r="I72" s="11" t="str">
        <f>IF(tblNational_water[[#This Row],[Code]]&gt;9.99,LEFT(tblNational_water[[#This Row],[Code]],2),LEFT(tblNational_water[[#This Row],[Code]],1))</f>
        <v>In</v>
      </c>
      <c r="J72" s="134" t="s">
        <v>181</v>
      </c>
      <c r="K72" s="139" t="s">
        <v>94</v>
      </c>
      <c r="L72" s="137" t="s">
        <v>182</v>
      </c>
      <c r="M72" s="123"/>
      <c r="N72" s="126"/>
      <c r="O72" s="126"/>
      <c r="P72" s="124" t="str">
        <f>IFERROR(VLOOKUP(tblNational_water[[#This Row],[Rating]],Guidance!$A$11:$C$15,3,0),"")</f>
        <v/>
      </c>
      <c r="Q72"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c r="U72"/>
      <c r="V72"/>
      <c r="W72"/>
    </row>
    <row r="73" spans="1:23" ht="83.5" customHeight="1" x14ac:dyDescent="0.2">
      <c r="A73" s="12" t="str">
        <f t="shared" si="5"/>
        <v>fill in name of country/state in guidance sheet</v>
      </c>
      <c r="B73" s="12">
        <f t="shared" si="6"/>
        <v>2026</v>
      </c>
      <c r="C73" s="12" t="s">
        <v>86</v>
      </c>
      <c r="D73" s="2" t="str">
        <f t="shared" si="7"/>
        <v>Water</v>
      </c>
      <c r="E73" s="12"/>
      <c r="F73" s="12"/>
      <c r="G73" s="12"/>
      <c r="H73" s="12">
        <v>103</v>
      </c>
      <c r="I73" s="11" t="str">
        <f>IF(tblNational_water[[#This Row],[Code]]&gt;9.99,LEFT(tblNational_water[[#This Row],[Code]],2),LEFT(tblNational_water[[#This Row],[Code]],1))</f>
        <v>In</v>
      </c>
      <c r="J73" s="134" t="s">
        <v>183</v>
      </c>
      <c r="K73" s="139" t="s">
        <v>97</v>
      </c>
      <c r="L73" s="136" t="s">
        <v>184</v>
      </c>
      <c r="M73" s="123"/>
      <c r="N73" s="126"/>
      <c r="O73" s="126"/>
      <c r="P73" s="124" t="str">
        <f>IFERROR(VLOOKUP(tblNational_water[[#This Row],[Rating]],Guidance!$A$11:$C$15,3,0),"")</f>
        <v/>
      </c>
      <c r="Q73" s="125" t="str">
        <f>IFERROR(
    IF(
        tblNational_water[[#This Row],[Code]]="Index Indicator 1",
        AVERAGEIF(tblNational_water[Contributing to Index Indicator 1 Climate],"Yes",tblNational_water[Benchmark Score]),
        IF(
            tblNational_water[[#This Row],[Code]]="Index Indicator 2",
            AVERAGEIF(tblNational_water[Contributing to Index Indicator 2 Capacity],"Yes",tblNational_water[Benchmark Score]),
            IF(
                tblNational_water[[#This Row],[Code]]="Index Indicator 3",
                AVERAGEIF(tblNational_water[Contributes to Index Indicator 3],"Yes",tblNational_water[Benchmark Score]),
                AVERAGEIF(tblNational_water[Outcome- number],tblNational_water[[#This Row],[Outcome- number]],tblNational_water[Benchmark Score])
            )
        )
    ),
"")</f>
        <v/>
      </c>
    </row>
    <row r="74" spans="1:23" x14ac:dyDescent="0.2">
      <c r="L74" s="87"/>
      <c r="M74" s="87"/>
    </row>
    <row r="75" spans="1:23" x14ac:dyDescent="0.2">
      <c r="L75" s="87"/>
      <c r="M75" s="87"/>
    </row>
    <row r="76" spans="1:23" x14ac:dyDescent="0.2">
      <c r="L76" s="87"/>
      <c r="M76" s="87"/>
    </row>
    <row r="77" spans="1:23" x14ac:dyDescent="0.2">
      <c r="L77" s="87"/>
      <c r="M77" s="87"/>
    </row>
    <row r="78" spans="1:23" x14ac:dyDescent="0.2">
      <c r="L78" s="87"/>
      <c r="M78" s="87"/>
    </row>
    <row r="79" spans="1:23" x14ac:dyDescent="0.2">
      <c r="L79" s="87"/>
      <c r="M79" s="87"/>
    </row>
    <row r="80" spans="1:23" x14ac:dyDescent="0.2">
      <c r="L80" s="87"/>
      <c r="M80" s="87"/>
    </row>
    <row r="81" spans="12:13" x14ac:dyDescent="0.2">
      <c r="L81" s="87"/>
      <c r="M81" s="87"/>
    </row>
    <row r="82" spans="12:13" x14ac:dyDescent="0.2">
      <c r="L82" s="87"/>
      <c r="M82" s="87"/>
    </row>
    <row r="83" spans="12:13" x14ac:dyDescent="0.2">
      <c r="L83" s="87"/>
      <c r="M83" s="87"/>
    </row>
    <row r="84" spans="12:13" x14ac:dyDescent="0.2">
      <c r="L84" s="87"/>
      <c r="M84" s="87"/>
    </row>
    <row r="85" spans="12:13" x14ac:dyDescent="0.2">
      <c r="L85" s="87"/>
      <c r="M85" s="87"/>
    </row>
    <row r="86" spans="12:13" x14ac:dyDescent="0.2">
      <c r="L86" s="87"/>
      <c r="M86" s="87"/>
    </row>
    <row r="87" spans="12:13" x14ac:dyDescent="0.2">
      <c r="L87" s="87"/>
      <c r="M87" s="87"/>
    </row>
    <row r="88" spans="12:13" x14ac:dyDescent="0.2">
      <c r="L88" s="87"/>
      <c r="M88" s="87"/>
    </row>
    <row r="89" spans="12:13" x14ac:dyDescent="0.2">
      <c r="L89" s="87"/>
      <c r="M89" s="87"/>
    </row>
    <row r="90" spans="12:13" x14ac:dyDescent="0.2">
      <c r="L90" s="87"/>
      <c r="M90" s="87"/>
    </row>
    <row r="91" spans="12:13" x14ac:dyDescent="0.2">
      <c r="L91" s="87"/>
      <c r="M91" s="87"/>
    </row>
    <row r="92" spans="12:13" x14ac:dyDescent="0.2">
      <c r="L92" s="87"/>
      <c r="M92" s="87"/>
    </row>
  </sheetData>
  <sheetProtection algorithmName="SHA-512" hashValue="LiFALRwElPGHGdD3DFBKzVPHCzNWqNr3a44D/RUWsBeSDThAGsb2zTljjb+rzOf3rsbTTvpfC+wIBCfvva3W2g==" saltValue="z1aUKx0GJWqQ0K2hTtAshQ==" spinCount="100000" sheet="1" objects="1" scenarios="1" formatCells="0" formatColumns="0" formatRows="0" autoFilter="0"/>
  <protectedRanges>
    <protectedRange sqref="N10:O11 M7:M11 M12:O73" name="Range1"/>
    <protectedRange sqref="O1" name="Range5"/>
  </protectedRanges>
  <phoneticPr fontId="18" type="noConversion"/>
  <conditionalFormatting sqref="M6:O73">
    <cfRule type="containsBlanks" dxfId="97" priority="13">
      <formula>LEN(TRIM(M6))=0</formula>
    </cfRule>
  </conditionalFormatting>
  <conditionalFormatting sqref="M6:P73">
    <cfRule type="expression" dxfId="96" priority="2" stopIfTrue="1">
      <formula>$C6="Calculation"</formula>
    </cfRule>
  </conditionalFormatting>
  <conditionalFormatting sqref="N6:O73">
    <cfRule type="notContainsBlanks" dxfId="95" priority="1">
      <formula>LEN(TRIM(N6))&gt;0</formula>
    </cfRule>
  </conditionalFormatting>
  <conditionalFormatting sqref="P6:P73">
    <cfRule type="cellIs" dxfId="94" priority="5" operator="greaterThan">
      <formula>1</formula>
    </cfRule>
    <cfRule type="cellIs" dxfId="93" priority="6" operator="equal">
      <formula>1</formula>
    </cfRule>
    <cfRule type="cellIs" dxfId="92" priority="7" operator="greaterThanOrEqual">
      <formula>0.75</formula>
    </cfRule>
    <cfRule type="cellIs" dxfId="91" priority="8" operator="greaterThanOrEqual">
      <formula>0.5</formula>
    </cfRule>
    <cfRule type="cellIs" dxfId="90" priority="9" operator="greaterThanOrEqual">
      <formula>0.25</formula>
    </cfRule>
    <cfRule type="cellIs" dxfId="89" priority="10" operator="greaterThanOrEqual">
      <formula>0</formula>
    </cfRule>
  </conditionalFormatting>
  <conditionalFormatting sqref="W6:W19">
    <cfRule type="containsBlanks" dxfId="88" priority="911">
      <formula>LEN(TRIM(W6))=0</formula>
    </cfRule>
    <cfRule type="cellIs" dxfId="87" priority="912" operator="greaterThanOrEqual">
      <formula>1</formula>
    </cfRule>
    <cfRule type="cellIs" dxfId="86" priority="913" operator="greaterThanOrEqual">
      <formula>0.75</formula>
    </cfRule>
    <cfRule type="cellIs" dxfId="85" priority="914" operator="greaterThanOrEqual">
      <formula>0.5</formula>
    </cfRule>
    <cfRule type="cellIs" dxfId="84" priority="915" operator="greaterThanOrEqual">
      <formula>0.25</formula>
    </cfRule>
    <cfRule type="cellIs" dxfId="83" priority="916" operator="greaterThanOrEqual">
      <formula>0</formula>
    </cfRule>
  </conditionalFormatting>
  <dataValidations count="3">
    <dataValidation type="list" allowBlank="1" showInputMessage="1" showErrorMessage="1" sqref="E6:G73" xr:uid="{BC1AD324-BE8B-4FB6-8815-9BEB8A1FBD80}">
      <formula1>"Yes,No"</formula1>
    </dataValidation>
    <dataValidation type="list" allowBlank="1" showInputMessage="1" showErrorMessage="1" sqref="D6:D73" xr:uid="{BD972C09-FFC9-429C-A428-6600F4EFC799}">
      <formula1>category</formula1>
    </dataValidation>
    <dataValidation allowBlank="1" showInputMessage="1" showErrorMessage="1" sqref="M71:M73 M17 M22 M31 M38 M46 M52 M59 M65 M12" xr:uid="{D877CCCE-4F19-4DE6-8977-C873717A8B38}"/>
  </dataValidations>
  <pageMargins left="0.70866141732283472" right="0.70866141732283472" top="0.74803149606299213" bottom="0.74803149606299213" header="0.31496062992125984" footer="0.31496062992125984"/>
  <pageSetup paperSize="9" scale="53" fitToHeight="0" orientation="landscape" r:id="rId1"/>
  <headerFooter>
    <oddFooter>&amp;L&amp;F&amp;C&amp;A&amp;RPage &amp;P of &amp;N</oddFooter>
  </headerFooter>
  <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containsText" priority="3024" operator="containsText" id="{8094C914-A30B-470D-943E-0A259A86BB8D}">
            <xm:f>NOT(ISERROR(SEARCH(Guidance!$A$14,M7)))</xm:f>
            <xm:f>Guidance!$A$14</xm:f>
            <x14:dxf>
              <fill>
                <patternFill>
                  <bgColor rgb="FFFFC000"/>
                </patternFill>
              </fill>
            </x14:dxf>
          </x14:cfRule>
          <x14:cfRule type="containsText" priority="3025" operator="containsText" id="{613BC04E-C36D-4158-9F67-0DECD4C16A46}">
            <xm:f>NOT(ISERROR(SEARCH(Guidance!$A$13,M7)))</xm:f>
            <xm:f>Guidance!$A$13</xm:f>
            <x14:dxf>
              <fill>
                <patternFill>
                  <bgColor rgb="FFFFFF00"/>
                </patternFill>
              </fill>
            </x14:dxf>
          </x14:cfRule>
          <x14:cfRule type="containsText" priority="3026" operator="containsText" id="{BCB874B4-1247-4097-9BD9-F13B5B299AB7}">
            <xm:f>NOT(ISERROR(SEARCH(Guidance!$A$15,M7)))</xm:f>
            <xm:f>Guidance!$A$15</xm:f>
            <x14:dxf>
              <fill>
                <patternFill>
                  <bgColor rgb="FFFF0000"/>
                </patternFill>
              </fill>
            </x14:dxf>
          </x14:cfRule>
          <x14:cfRule type="containsText" priority="3027" operator="containsText" id="{0DC4CEA6-1E02-4D86-98FC-5D0E65727613}">
            <xm:f>NOT(ISERROR(SEARCH(Guidance!$A$12,M7)))</xm:f>
            <xm:f>Guidance!$A$12</xm:f>
            <x14:dxf>
              <fill>
                <patternFill>
                  <bgColor rgb="FF92D050"/>
                </patternFill>
              </fill>
            </x14:dxf>
          </x14:cfRule>
          <x14:cfRule type="containsText" priority="3028" operator="containsText" id="{A1CB5FED-1794-4C87-B4DB-71B01B67C332}">
            <xm:f>NOT(ISERROR(SEARCH(Guidance!$A$11,M7)))</xm:f>
            <xm:f>Guidance!$A$11</xm:f>
            <x14:dxf>
              <fill>
                <patternFill>
                  <bgColor rgb="FF00B050"/>
                </patternFill>
              </fill>
            </x14:dxf>
          </x14:cfRule>
          <xm:sqref>M7:M73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C458109-3741-40F8-9FA2-E4C075EB560D}">
          <x14:formula1>
            <xm:f>Guidance!$A$11:$A$15</xm:f>
          </x14:formula1>
          <xm:sqref>M66:M70 M13:M16 M18:M21 M23:M30 M32:M37 M39:M45 M47:M51 M53:M58 M60:M64 M8:M11</xm:sqref>
        </x14:dataValidation>
        <x14:dataValidation type="list" allowBlank="1" showInputMessage="1" showErrorMessage="1" xr:uid="{8686541E-CD35-4DC2-A49D-A3292ED08358}">
          <x14:formula1>
            <xm:f>Guidance!$A$11:$A$16</xm:f>
          </x14:formula1>
          <xm:sqref>M7</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CCB0-66B8-4333-B887-75997DED0BA5}">
  <sheetPr>
    <tabColor theme="9" tint="-0.249977111117893"/>
    <pageSetUpPr fitToPage="1"/>
  </sheetPr>
  <dimension ref="A1:W91"/>
  <sheetViews>
    <sheetView showGridLines="0" zoomScale="70" zoomScaleNormal="70" workbookViewId="0">
      <pane xSplit="13" ySplit="5" topLeftCell="N6" activePane="bottomRight" state="frozen"/>
      <selection pane="topRight" activeCell="P1" sqref="P1"/>
      <selection pane="bottomLeft" activeCell="M35" sqref="M35"/>
      <selection pane="bottomRight" activeCell="O2" sqref="O2"/>
    </sheetView>
  </sheetViews>
  <sheetFormatPr baseColWidth="10" defaultColWidth="11.33203125" defaultRowHeight="16" x14ac:dyDescent="0.2"/>
  <cols>
    <col min="1" max="1" width="10.6640625" hidden="1" customWidth="1"/>
    <col min="2" max="2" width="27.1640625" hidden="1" customWidth="1"/>
    <col min="3" max="3" width="18.1640625" hidden="1" customWidth="1"/>
    <col min="4" max="4" width="26.5" hidden="1" customWidth="1"/>
    <col min="5" max="5" width="35.83203125" hidden="1" customWidth="1"/>
    <col min="6" max="6" width="26.83203125" hidden="1" customWidth="1"/>
    <col min="7" max="7" width="28.1640625" hidden="1" customWidth="1"/>
    <col min="8" max="8" width="7.83203125" hidden="1" customWidth="1"/>
    <col min="9" max="9" width="6.1640625" hidden="1" customWidth="1"/>
    <col min="10" max="10" width="23.1640625" style="3" customWidth="1"/>
    <col min="11" max="11" width="17.83203125" style="2" customWidth="1"/>
    <col min="12" max="12" width="79.33203125" style="1" customWidth="1"/>
    <col min="13" max="13" width="17.83203125" style="1" customWidth="1"/>
    <col min="14" max="14" width="31.6640625" customWidth="1"/>
    <col min="15" max="15" width="37.33203125" style="1" customWidth="1"/>
    <col min="16" max="16" width="12.6640625" style="3" customWidth="1"/>
    <col min="17" max="17" width="18.83203125" style="3" customWidth="1"/>
    <col min="18" max="18" width="7.1640625" customWidth="1"/>
    <col min="19" max="20" width="11.33203125" hidden="1" customWidth="1"/>
    <col min="21" max="21" width="12.6640625" style="1" customWidth="1"/>
    <col min="22" max="22" width="42" style="1" customWidth="1"/>
    <col min="23" max="23" width="17.33203125" style="3" customWidth="1"/>
  </cols>
  <sheetData>
    <row r="1" spans="1:23" ht="19" x14ac:dyDescent="0.2">
      <c r="A1" s="24"/>
      <c r="B1" s="24"/>
      <c r="C1" s="24"/>
      <c r="D1" s="25"/>
      <c r="E1" s="26"/>
      <c r="F1" s="26"/>
      <c r="G1" s="26"/>
      <c r="H1" s="24"/>
      <c r="I1" s="24"/>
      <c r="J1" s="24"/>
      <c r="K1" s="27" t="s">
        <v>61</v>
      </c>
      <c r="L1" s="24"/>
      <c r="M1" s="47"/>
      <c r="N1" s="52" t="s">
        <v>62</v>
      </c>
      <c r="O1" s="86" t="str">
        <f>IF(Guidance!E5="","fill in name of country/state in guidance sheet",Guidance!E5)</f>
        <v>fill in name of country/state in guidance sheet</v>
      </c>
      <c r="P1" s="29"/>
      <c r="Q1" s="29"/>
      <c r="R1" s="25"/>
      <c r="S1" s="25"/>
      <c r="T1" s="24"/>
      <c r="U1" s="24"/>
      <c r="V1" s="29"/>
      <c r="W1" s="25"/>
    </row>
    <row r="2" spans="1:23" ht="30" customHeight="1" x14ac:dyDescent="0.2">
      <c r="A2" s="25"/>
      <c r="B2" s="24"/>
      <c r="C2" s="24"/>
      <c r="D2" s="25"/>
      <c r="E2" s="26"/>
      <c r="F2" s="26"/>
      <c r="G2" s="26"/>
      <c r="H2" s="24"/>
      <c r="I2" s="24"/>
      <c r="J2" s="24"/>
      <c r="K2" s="24" t="s">
        <v>3</v>
      </c>
      <c r="L2" s="24"/>
      <c r="M2" s="47"/>
      <c r="N2" s="52" t="s">
        <v>63</v>
      </c>
      <c r="O2" s="52" t="s">
        <v>185</v>
      </c>
      <c r="P2" s="29"/>
      <c r="Q2" s="29"/>
      <c r="R2" s="25"/>
      <c r="S2" s="25"/>
      <c r="T2" s="24"/>
      <c r="U2" s="24"/>
      <c r="V2" s="29"/>
      <c r="W2" s="25"/>
    </row>
    <row r="3" spans="1:23" s="89" customFormat="1" ht="13.5" customHeight="1" x14ac:dyDescent="0.2">
      <c r="B3" s="140"/>
      <c r="C3" s="140"/>
      <c r="E3" s="141"/>
      <c r="F3" s="141"/>
      <c r="G3" s="141"/>
      <c r="H3" s="140"/>
      <c r="I3" s="140"/>
      <c r="J3" s="140"/>
      <c r="K3" s="140"/>
      <c r="L3" s="140"/>
      <c r="M3" s="142"/>
      <c r="N3" s="143"/>
      <c r="O3" s="143"/>
      <c r="P3" s="144"/>
      <c r="Q3" s="144"/>
      <c r="T3" s="140"/>
      <c r="U3" s="140"/>
      <c r="V3" s="144"/>
    </row>
    <row r="4" spans="1:23" ht="26.5" customHeight="1" x14ac:dyDescent="0.2">
      <c r="A4" s="90" t="s">
        <v>64</v>
      </c>
      <c r="B4" s="90"/>
      <c r="C4" s="90"/>
      <c r="D4" s="90"/>
      <c r="E4" s="90"/>
      <c r="F4" s="90"/>
      <c r="G4" s="90"/>
      <c r="H4" s="90"/>
      <c r="I4" s="90"/>
      <c r="M4" s="107" t="s">
        <v>65</v>
      </c>
      <c r="N4" s="107"/>
      <c r="O4" s="107"/>
      <c r="P4"/>
      <c r="Q4"/>
      <c r="T4" s="1"/>
      <c r="U4" s="104"/>
      <c r="V4" s="104" t="s">
        <v>66</v>
      </c>
      <c r="W4" s="105"/>
    </row>
    <row r="5" spans="1:23" ht="42" customHeight="1" x14ac:dyDescent="0.2">
      <c r="A5" s="13" t="s">
        <v>67</v>
      </c>
      <c r="B5" s="13" t="s">
        <v>8</v>
      </c>
      <c r="C5" s="13" t="s">
        <v>68</v>
      </c>
      <c r="D5" s="13" t="s">
        <v>69</v>
      </c>
      <c r="E5" s="13" t="s">
        <v>70</v>
      </c>
      <c r="F5" s="13" t="s">
        <v>71</v>
      </c>
      <c r="G5" s="13" t="s">
        <v>72</v>
      </c>
      <c r="H5" s="13" t="s">
        <v>73</v>
      </c>
      <c r="I5" s="14" t="s">
        <v>74</v>
      </c>
      <c r="J5" s="145" t="s">
        <v>75</v>
      </c>
      <c r="K5" s="145" t="s">
        <v>76</v>
      </c>
      <c r="L5" s="145" t="s">
        <v>186</v>
      </c>
      <c r="M5" s="145" t="s">
        <v>78</v>
      </c>
      <c r="N5" s="146" t="s">
        <v>187</v>
      </c>
      <c r="O5" s="147" t="s">
        <v>80</v>
      </c>
      <c r="P5" s="148" t="s">
        <v>188</v>
      </c>
      <c r="Q5" s="148" t="s">
        <v>85</v>
      </c>
      <c r="S5" s="97" t="s">
        <v>69</v>
      </c>
      <c r="T5" s="99" t="s">
        <v>83</v>
      </c>
      <c r="U5" s="100" t="s">
        <v>84</v>
      </c>
      <c r="V5" s="101" t="s">
        <v>75</v>
      </c>
      <c r="W5" s="30" t="s">
        <v>85</v>
      </c>
    </row>
    <row r="6" spans="1:23" ht="83.5" customHeight="1" x14ac:dyDescent="0.2">
      <c r="A6" s="12" t="str">
        <f t="shared" ref="A6:A37" si="0">IF($O$1="Fill in Name","National",$O$1)</f>
        <v>fill in name of country/state in guidance sheet</v>
      </c>
      <c r="B6" s="12">
        <f t="shared" ref="B6:B37" si="1">Year</f>
        <v>2026</v>
      </c>
      <c r="C6" s="12" t="s">
        <v>86</v>
      </c>
      <c r="D6" s="2" t="str">
        <f t="shared" ref="D6:D37" si="2">$O$2</f>
        <v>Sanitation &amp; hygiene</v>
      </c>
      <c r="E6" s="72"/>
      <c r="F6" s="72"/>
      <c r="G6" s="72"/>
      <c r="H6" s="12">
        <v>1</v>
      </c>
      <c r="I6" s="11" t="str">
        <f>IF(tblNational_S_H[[#This Row],[Code]]&gt;9.99,LEFT(tblNational_S_H[[#This Row],[Code]],2),LEFT(tblNational_S_H[[#This Row],[Code]],1))</f>
        <v>1</v>
      </c>
      <c r="J6" s="131" t="s">
        <v>87</v>
      </c>
      <c r="K6" s="138">
        <v>1</v>
      </c>
      <c r="L6" s="132" t="s">
        <v>88</v>
      </c>
      <c r="M6" s="123"/>
      <c r="N6" s="126" t="s">
        <v>89</v>
      </c>
      <c r="O6" s="126"/>
      <c r="P6" s="124" t="str">
        <f>IFERROR(VLOOKUP(tblNational_S_H[[#This Row],[Rating]],Guidance!$A$11:$C$15,3,0),"")</f>
        <v/>
      </c>
      <c r="Q6"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6" s="97" t="str">
        <f>$O$2</f>
        <v>Sanitation &amp; hygiene</v>
      </c>
      <c r="T6" s="98" t="str">
        <f t="shared" ref="T6:T18" si="3">$O$1</f>
        <v>fill in name of country/state in guidance sheet</v>
      </c>
      <c r="U6" s="82" t="s">
        <v>90</v>
      </c>
      <c r="V6" s="82" t="s">
        <v>91</v>
      </c>
      <c r="W6" s="103" t="str">
        <f>IFERROR(VLOOKUP(Results_S_H_national[[#This Row],[Indicator]],tblNational_S_H[[#All],[Code]:[Index]],7,0),"")</f>
        <v/>
      </c>
    </row>
    <row r="7" spans="1:23" ht="83.5" customHeight="1" x14ac:dyDescent="0.2">
      <c r="A7" s="12" t="str">
        <f t="shared" si="0"/>
        <v>fill in name of country/state in guidance sheet</v>
      </c>
      <c r="B7" s="12">
        <f t="shared" si="1"/>
        <v>2026</v>
      </c>
      <c r="C7" s="12" t="s">
        <v>92</v>
      </c>
      <c r="D7" s="2" t="str">
        <f t="shared" si="2"/>
        <v>Sanitation &amp; hygiene</v>
      </c>
      <c r="E7" s="72"/>
      <c r="F7" s="72"/>
      <c r="G7" s="72"/>
      <c r="H7" s="12">
        <v>2</v>
      </c>
      <c r="I7" s="11" t="str">
        <f>IF(tblNational_S_H[[#This Row],[Code]]&gt;9.99,LEFT(tblNational_S_H[[#This Row],[Code]],2),LEFT(tblNational_S_H[[#This Row],[Code]],1))</f>
        <v>1</v>
      </c>
      <c r="J7" s="74" t="s">
        <v>87</v>
      </c>
      <c r="K7" s="76">
        <v>1.1000000000000001</v>
      </c>
      <c r="L7" s="77" t="s">
        <v>189</v>
      </c>
      <c r="M7" s="95"/>
      <c r="N7" s="111"/>
      <c r="O7" s="113"/>
      <c r="P7" s="127" t="str">
        <f>IFERROR(VLOOKUP(tblNational_S_H[[#This Row],[Rating]],Guidance!$A$11:$C$15,3,0),"")</f>
        <v/>
      </c>
      <c r="Q7" s="117"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7" s="97" t="str">
        <f t="shared" ref="S7:S18" si="4">$O$2</f>
        <v>Sanitation &amp; hygiene</v>
      </c>
      <c r="T7" s="98" t="str">
        <f t="shared" si="3"/>
        <v>fill in name of country/state in guidance sheet</v>
      </c>
      <c r="U7" s="82" t="s">
        <v>94</v>
      </c>
      <c r="V7" s="82" t="s">
        <v>95</v>
      </c>
      <c r="W7" s="103" t="str">
        <f>IFERROR(VLOOKUP(Results_S_H_national[[#This Row],[Indicator]],tblNational_S_H[[#All],[Code]:[Index]],7,0),"")</f>
        <v/>
      </c>
    </row>
    <row r="8" spans="1:23" ht="83.5" customHeight="1" x14ac:dyDescent="0.2">
      <c r="A8" s="12" t="str">
        <f t="shared" si="0"/>
        <v>fill in name of country/state in guidance sheet</v>
      </c>
      <c r="B8" s="12">
        <f t="shared" si="1"/>
        <v>2026</v>
      </c>
      <c r="C8" s="12" t="s">
        <v>92</v>
      </c>
      <c r="D8" s="2" t="str">
        <f t="shared" si="2"/>
        <v>Sanitation &amp; hygiene</v>
      </c>
      <c r="E8" s="72"/>
      <c r="F8" s="72"/>
      <c r="G8" s="72"/>
      <c r="H8" s="12">
        <v>3</v>
      </c>
      <c r="I8" s="11" t="str">
        <f>IF(tblNational_S_H[[#This Row],[Code]]&gt;9.99,LEFT(tblNational_S_H[[#This Row],[Code]],2),LEFT(tblNational_S_H[[#This Row],[Code]],1))</f>
        <v>1</v>
      </c>
      <c r="J8" s="74" t="s">
        <v>87</v>
      </c>
      <c r="K8" s="76">
        <v>1.2</v>
      </c>
      <c r="L8" s="77" t="s">
        <v>190</v>
      </c>
      <c r="M8" s="95"/>
      <c r="N8" s="111"/>
      <c r="O8" s="112"/>
      <c r="P8" s="118" t="str">
        <f>IFERROR(VLOOKUP(tblNational_S_H[[#This Row],[Rating]],Guidance!$A$11:$C$15,3,0),"")</f>
        <v/>
      </c>
      <c r="Q8"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8" s="97" t="str">
        <f t="shared" si="4"/>
        <v>Sanitation &amp; hygiene</v>
      </c>
      <c r="T8" s="98" t="str">
        <f t="shared" si="3"/>
        <v>fill in name of country/state in guidance sheet</v>
      </c>
      <c r="U8" s="82" t="s">
        <v>97</v>
      </c>
      <c r="V8" s="82" t="s">
        <v>98</v>
      </c>
      <c r="W8" s="103" t="str">
        <f>IFERROR(VLOOKUP(Results_S_H_national[[#This Row],[Indicator]],tblNational_S_H[[#All],[Code]:[Index]],7,0),"")</f>
        <v/>
      </c>
    </row>
    <row r="9" spans="1:23" ht="83.5" customHeight="1" x14ac:dyDescent="0.2">
      <c r="A9" s="12" t="str">
        <f t="shared" si="0"/>
        <v>fill in name of country/state in guidance sheet</v>
      </c>
      <c r="B9" s="12">
        <f t="shared" si="1"/>
        <v>2026</v>
      </c>
      <c r="C9" s="12" t="s">
        <v>92</v>
      </c>
      <c r="D9" s="2" t="str">
        <f t="shared" si="2"/>
        <v>Sanitation &amp; hygiene</v>
      </c>
      <c r="E9" s="72"/>
      <c r="F9" s="72"/>
      <c r="G9" s="72"/>
      <c r="H9" s="12">
        <v>4</v>
      </c>
      <c r="I9" s="11" t="str">
        <f>IF(tblNational_S_H[[#This Row],[Code]]&gt;9.99,LEFT(tblNational_S_H[[#This Row],[Code]],2),LEFT(tblNational_S_H[[#This Row],[Code]],1))</f>
        <v>1</v>
      </c>
      <c r="J9" s="75" t="s">
        <v>87</v>
      </c>
      <c r="K9" s="108">
        <v>1.3</v>
      </c>
      <c r="L9" s="77" t="s">
        <v>99</v>
      </c>
      <c r="M9" s="95"/>
      <c r="N9" s="111"/>
      <c r="O9" s="112"/>
      <c r="P9" s="118" t="str">
        <f>IFERROR(VLOOKUP(tblNational_S_H[[#This Row],[Rating]],Guidance!$A$11:$C$15,3,0),"")</f>
        <v/>
      </c>
      <c r="Q9"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9" s="97" t="str">
        <f t="shared" si="4"/>
        <v>Sanitation &amp; hygiene</v>
      </c>
      <c r="T9" s="98" t="str">
        <f t="shared" si="3"/>
        <v>fill in name of country/state in guidance sheet</v>
      </c>
      <c r="U9" s="82">
        <v>1</v>
      </c>
      <c r="V9" s="82" t="s">
        <v>87</v>
      </c>
      <c r="W9" s="103" t="str">
        <f>IFERROR(VLOOKUP(Results_S_H_national[[#This Row],[Indicator]],tblNational_S_H[[#All],[Code]:[Index]],7,0),"")</f>
        <v/>
      </c>
    </row>
    <row r="10" spans="1:23" ht="83.5" customHeight="1" x14ac:dyDescent="0.2">
      <c r="A10" s="12" t="str">
        <f t="shared" si="0"/>
        <v>fill in name of country/state in guidance sheet</v>
      </c>
      <c r="B10" s="12">
        <f t="shared" si="1"/>
        <v>2026</v>
      </c>
      <c r="C10" s="12" t="s">
        <v>92</v>
      </c>
      <c r="D10" s="2" t="str">
        <f t="shared" si="2"/>
        <v>Sanitation &amp; hygiene</v>
      </c>
      <c r="E10" s="72"/>
      <c r="F10" s="72"/>
      <c r="G10" s="72" t="s">
        <v>100</v>
      </c>
      <c r="H10" s="12">
        <v>5</v>
      </c>
      <c r="I10" s="11" t="str">
        <f>IF(tblNational_S_H[[#This Row],[Code]]&gt;9.99,LEFT(tblNational_S_H[[#This Row],[Code]],2),LEFT(tblNational_S_H[[#This Row],[Code]],1))</f>
        <v>1</v>
      </c>
      <c r="J10" s="74" t="s">
        <v>87</v>
      </c>
      <c r="K10" s="76">
        <v>1.4</v>
      </c>
      <c r="L10" s="80" t="s">
        <v>191</v>
      </c>
      <c r="M10" s="95"/>
      <c r="N10" s="73"/>
      <c r="O10" s="73"/>
      <c r="P10" s="118" t="str">
        <f>IFERROR(VLOOKUP(tblNational_S_H[[#This Row],[Rating]],Guidance!$A$11:$C$15,3,0),"")</f>
        <v/>
      </c>
      <c r="Q10"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10" s="97" t="str">
        <f t="shared" si="4"/>
        <v>Sanitation &amp; hygiene</v>
      </c>
      <c r="T10" s="98" t="str">
        <f t="shared" si="3"/>
        <v>fill in name of country/state in guidance sheet</v>
      </c>
      <c r="U10" s="82">
        <v>2</v>
      </c>
      <c r="V10" s="82" t="s">
        <v>102</v>
      </c>
      <c r="W10" s="103" t="str">
        <f>IFERROR(VLOOKUP(Results_S_H_national[[#This Row],[Indicator]],tblNational_S_H[[#All],[Code]:[Index]],7,0),"")</f>
        <v/>
      </c>
    </row>
    <row r="11" spans="1:23" ht="83.5" customHeight="1" x14ac:dyDescent="0.2">
      <c r="A11" s="12" t="str">
        <f t="shared" si="0"/>
        <v>fill in name of country/state in guidance sheet</v>
      </c>
      <c r="B11" s="12">
        <f t="shared" si="1"/>
        <v>2026</v>
      </c>
      <c r="C11" s="12" t="s">
        <v>92</v>
      </c>
      <c r="D11" s="2" t="str">
        <f t="shared" si="2"/>
        <v>Sanitation &amp; hygiene</v>
      </c>
      <c r="E11" s="72" t="s">
        <v>100</v>
      </c>
      <c r="F11" s="72"/>
      <c r="G11" s="72"/>
      <c r="H11" s="12">
        <v>6</v>
      </c>
      <c r="I11" s="11" t="str">
        <f>IF(tblNational_S_H[[#This Row],[Code]]&gt;9.99,LEFT(tblNational_S_H[[#This Row],[Code]],2),LEFT(tblNational_S_H[[#This Row],[Code]],1))</f>
        <v>1</v>
      </c>
      <c r="J11" s="74" t="s">
        <v>87</v>
      </c>
      <c r="K11" s="76">
        <v>1.5</v>
      </c>
      <c r="L11" s="110" t="s">
        <v>192</v>
      </c>
      <c r="M11" s="95"/>
      <c r="N11" s="73"/>
      <c r="O11" s="73"/>
      <c r="P11" s="120" t="str">
        <f>IFERROR(VLOOKUP(tblNational_S_H[[#This Row],[Rating]],Guidance!$A$11:$C$15,3,0),"")</f>
        <v/>
      </c>
      <c r="Q11" s="116"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11" s="97" t="str">
        <f t="shared" si="4"/>
        <v>Sanitation &amp; hygiene</v>
      </c>
      <c r="T11" s="98" t="str">
        <f t="shared" si="3"/>
        <v>fill in name of country/state in guidance sheet</v>
      </c>
      <c r="U11" s="82">
        <v>3</v>
      </c>
      <c r="V11" s="82" t="s">
        <v>104</v>
      </c>
      <c r="W11" s="103" t="str">
        <f>IFERROR(VLOOKUP(Results_S_H_national[[#This Row],[Indicator]],tblNational_S_H[[#All],[Code]:[Index]],7,0),"")</f>
        <v/>
      </c>
    </row>
    <row r="12" spans="1:23" ht="83.5" customHeight="1" x14ac:dyDescent="0.2">
      <c r="A12" s="12" t="str">
        <f t="shared" si="0"/>
        <v>fill in name of country/state in guidance sheet</v>
      </c>
      <c r="B12" s="12">
        <f t="shared" si="1"/>
        <v>2026</v>
      </c>
      <c r="C12" s="12" t="s">
        <v>86</v>
      </c>
      <c r="D12" s="2" t="str">
        <f t="shared" si="2"/>
        <v>Sanitation &amp; hygiene</v>
      </c>
      <c r="E12" s="72"/>
      <c r="F12" s="72"/>
      <c r="G12" s="72" t="s">
        <v>126</v>
      </c>
      <c r="H12" s="12">
        <v>7</v>
      </c>
      <c r="I12" s="11" t="str">
        <f>IF(tblNational_S_H[[#This Row],[Code]]&gt;9.99,LEFT(tblNational_S_H[[#This Row],[Code]],2),LEFT(tblNational_S_H[[#This Row],[Code]],1))</f>
        <v>2</v>
      </c>
      <c r="J12" s="133" t="s">
        <v>102</v>
      </c>
      <c r="K12" s="139">
        <v>2</v>
      </c>
      <c r="L12" s="134" t="s">
        <v>105</v>
      </c>
      <c r="M12" s="123"/>
      <c r="N12" s="126"/>
      <c r="O12" s="126"/>
      <c r="P12" s="124" t="str">
        <f>IFERROR(VLOOKUP(tblNational_S_H[[#This Row],[Rating]],Guidance!$A$11:$C$15,3,0),"")</f>
        <v/>
      </c>
      <c r="Q12"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12" s="97" t="str">
        <f t="shared" si="4"/>
        <v>Sanitation &amp; hygiene</v>
      </c>
      <c r="T12" s="98" t="str">
        <f t="shared" si="3"/>
        <v>fill in name of country/state in guidance sheet</v>
      </c>
      <c r="U12" s="82">
        <v>4</v>
      </c>
      <c r="V12" s="82" t="s">
        <v>106</v>
      </c>
      <c r="W12" s="103" t="str">
        <f>IFERROR(VLOOKUP(Results_S_H_national[[#This Row],[Indicator]],tblNational_S_H[[#All],[Code]:[Index]],7,0),"")</f>
        <v/>
      </c>
    </row>
    <row r="13" spans="1:23" ht="83.5" customHeight="1" x14ac:dyDescent="0.2">
      <c r="A13" s="12" t="str">
        <f t="shared" si="0"/>
        <v>fill in name of country/state in guidance sheet</v>
      </c>
      <c r="B13" s="12">
        <f t="shared" si="1"/>
        <v>2026</v>
      </c>
      <c r="C13" s="12" t="s">
        <v>92</v>
      </c>
      <c r="D13" s="2" t="str">
        <f t="shared" si="2"/>
        <v>Sanitation &amp; hygiene</v>
      </c>
      <c r="E13" s="72"/>
      <c r="F13" s="72"/>
      <c r="G13" s="72"/>
      <c r="H13" s="12">
        <v>8</v>
      </c>
      <c r="I13" s="11" t="str">
        <f>IF(tblNational_S_H[[#This Row],[Code]]&gt;9.99,LEFT(tblNational_S_H[[#This Row],[Code]],2),LEFT(tblNational_S_H[[#This Row],[Code]],1))</f>
        <v>2</v>
      </c>
      <c r="J13" s="74" t="s">
        <v>102</v>
      </c>
      <c r="K13" s="76">
        <v>2.1</v>
      </c>
      <c r="L13" s="79" t="s">
        <v>193</v>
      </c>
      <c r="M13" s="95"/>
      <c r="N13" s="73"/>
      <c r="O13" s="73"/>
      <c r="P13" s="128" t="str">
        <f>IFERROR(VLOOKUP(tblNational_S_H[[#This Row],[Rating]],Guidance!$A$11:$C$15,3,0),"")</f>
        <v/>
      </c>
      <c r="Q13" s="117"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13" s="97" t="str">
        <f t="shared" si="4"/>
        <v>Sanitation &amp; hygiene</v>
      </c>
      <c r="T13" s="98" t="str">
        <f t="shared" si="3"/>
        <v>fill in name of country/state in guidance sheet</v>
      </c>
      <c r="U13" s="82">
        <v>5</v>
      </c>
      <c r="V13" s="82" t="s">
        <v>108</v>
      </c>
      <c r="W13" s="103" t="str">
        <f>IFERROR(VLOOKUP(Results_S_H_national[[#This Row],[Indicator]],tblNational_S_H[[#All],[Code]:[Index]],7,0),"")</f>
        <v/>
      </c>
    </row>
    <row r="14" spans="1:23" ht="83.5" customHeight="1" x14ac:dyDescent="0.2">
      <c r="A14" s="12" t="str">
        <f t="shared" si="0"/>
        <v>fill in name of country/state in guidance sheet</v>
      </c>
      <c r="B14" s="12">
        <f t="shared" si="1"/>
        <v>2026</v>
      </c>
      <c r="C14" s="12" t="s">
        <v>92</v>
      </c>
      <c r="D14" s="2" t="str">
        <f t="shared" si="2"/>
        <v>Sanitation &amp; hygiene</v>
      </c>
      <c r="E14" s="72"/>
      <c r="F14" s="72" t="s">
        <v>100</v>
      </c>
      <c r="G14" s="72"/>
      <c r="H14" s="12">
        <v>9</v>
      </c>
      <c r="I14" s="11" t="str">
        <f>IF(tblNational_S_H[[#This Row],[Code]]&gt;9.99,LEFT(tblNational_S_H[[#This Row],[Code]],2),LEFT(tblNational_S_H[[#This Row],[Code]],1))</f>
        <v>2</v>
      </c>
      <c r="J14" s="74" t="s">
        <v>102</v>
      </c>
      <c r="K14" s="76">
        <v>2.2000000000000002</v>
      </c>
      <c r="L14" s="80" t="s">
        <v>109</v>
      </c>
      <c r="M14" s="95"/>
      <c r="N14" s="73"/>
      <c r="O14" s="73"/>
      <c r="P14" s="118" t="str">
        <f>IFERROR(VLOOKUP(tblNational_S_H[[#This Row],[Rating]],Guidance!$A$11:$C$15,3,0),"")</f>
        <v/>
      </c>
      <c r="Q14"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14" s="97" t="str">
        <f t="shared" si="4"/>
        <v>Sanitation &amp; hygiene</v>
      </c>
      <c r="T14" s="98" t="str">
        <f t="shared" si="3"/>
        <v>fill in name of country/state in guidance sheet</v>
      </c>
      <c r="U14" s="82">
        <v>6</v>
      </c>
      <c r="V14" s="82" t="s">
        <v>110</v>
      </c>
      <c r="W14" s="103" t="str">
        <f>IFERROR(VLOOKUP(Results_S_H_national[[#This Row],[Indicator]],tblNational_S_H[[#All],[Code]:[Index]],7,0),"")</f>
        <v/>
      </c>
    </row>
    <row r="15" spans="1:23" ht="83.5" customHeight="1" x14ac:dyDescent="0.2">
      <c r="A15" s="12" t="str">
        <f t="shared" si="0"/>
        <v>fill in name of country/state in guidance sheet</v>
      </c>
      <c r="B15" s="12">
        <f t="shared" si="1"/>
        <v>2026</v>
      </c>
      <c r="C15" s="12" t="s">
        <v>92</v>
      </c>
      <c r="D15" s="2" t="str">
        <f t="shared" si="2"/>
        <v>Sanitation &amp; hygiene</v>
      </c>
      <c r="E15" s="72"/>
      <c r="F15" s="72"/>
      <c r="G15" s="72" t="s">
        <v>100</v>
      </c>
      <c r="H15" s="12">
        <v>10</v>
      </c>
      <c r="I15" s="11" t="str">
        <f>IF(tblNational_S_H[[#This Row],[Code]]&gt;9.99,LEFT(tblNational_S_H[[#This Row],[Code]],2),LEFT(tblNational_S_H[[#This Row],[Code]],1))</f>
        <v>2</v>
      </c>
      <c r="J15" s="74" t="s">
        <v>102</v>
      </c>
      <c r="K15" s="76">
        <v>2.2999999999999998</v>
      </c>
      <c r="L15" s="77" t="s">
        <v>194</v>
      </c>
      <c r="M15" s="95"/>
      <c r="N15" s="111"/>
      <c r="O15" s="112"/>
      <c r="P15" s="118" t="str">
        <f>IFERROR(VLOOKUP(tblNational_S_H[[#This Row],[Rating]],Guidance!$A$11:$C$15,3,0),"")</f>
        <v/>
      </c>
      <c r="Q15"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15" s="97" t="str">
        <f t="shared" si="4"/>
        <v>Sanitation &amp; hygiene</v>
      </c>
      <c r="T15" s="98" t="str">
        <f t="shared" si="3"/>
        <v>fill in name of country/state in guidance sheet</v>
      </c>
      <c r="U15" s="82">
        <v>7</v>
      </c>
      <c r="V15" s="82" t="s">
        <v>112</v>
      </c>
      <c r="W15" s="103" t="str">
        <f>IFERROR(VLOOKUP(Results_S_H_national[[#This Row],[Indicator]],tblNational_S_H[[#All],[Code]:[Index]],7,0),"")</f>
        <v/>
      </c>
    </row>
    <row r="16" spans="1:23" ht="83.5" customHeight="1" x14ac:dyDescent="0.2">
      <c r="A16" s="12" t="str">
        <f t="shared" si="0"/>
        <v>fill in name of country/state in guidance sheet</v>
      </c>
      <c r="B16" s="12">
        <f t="shared" si="1"/>
        <v>2026</v>
      </c>
      <c r="C16" s="12" t="s">
        <v>92</v>
      </c>
      <c r="D16" s="2" t="str">
        <f t="shared" si="2"/>
        <v>Sanitation &amp; hygiene</v>
      </c>
      <c r="E16" s="72" t="s">
        <v>100</v>
      </c>
      <c r="F16" s="72"/>
      <c r="G16" s="72"/>
      <c r="H16" s="12">
        <v>11</v>
      </c>
      <c r="I16" s="11" t="str">
        <f>IF(tblNational_S_H[[#This Row],[Code]]&gt;9.99,LEFT(tblNational_S_H[[#This Row],[Code]],2),LEFT(tblNational_S_H[[#This Row],[Code]],1))</f>
        <v>2</v>
      </c>
      <c r="J16" s="74" t="s">
        <v>102</v>
      </c>
      <c r="K16" s="76">
        <v>2.4</v>
      </c>
      <c r="L16" s="92" t="s">
        <v>195</v>
      </c>
      <c r="M16" s="95"/>
      <c r="N16" s="73"/>
      <c r="O16" s="73"/>
      <c r="P16" s="120" t="str">
        <f>IFERROR(VLOOKUP(tblNational_S_H[[#This Row],[Rating]],Guidance!$A$11:$C$15,3,0),"")</f>
        <v/>
      </c>
      <c r="Q16" s="116"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16" s="97" t="str">
        <f t="shared" si="4"/>
        <v>Sanitation &amp; hygiene</v>
      </c>
      <c r="T16" s="98" t="str">
        <f t="shared" si="3"/>
        <v>fill in name of country/state in guidance sheet</v>
      </c>
      <c r="U16" s="82">
        <v>8</v>
      </c>
      <c r="V16" s="82" t="s">
        <v>114</v>
      </c>
      <c r="W16" s="103" t="str">
        <f>IFERROR(VLOOKUP(Results_S_H_national[[#This Row],[Indicator]],tblNational_S_H[[#All],[Code]:[Index]],7,0),"")</f>
        <v/>
      </c>
    </row>
    <row r="17" spans="1:23" ht="83.5" customHeight="1" x14ac:dyDescent="0.2">
      <c r="A17" s="12" t="str">
        <f t="shared" si="0"/>
        <v>fill in name of country/state in guidance sheet</v>
      </c>
      <c r="B17" s="12">
        <f t="shared" si="1"/>
        <v>2026</v>
      </c>
      <c r="C17" s="12" t="s">
        <v>86</v>
      </c>
      <c r="D17" s="2" t="str">
        <f t="shared" si="2"/>
        <v>Sanitation &amp; hygiene</v>
      </c>
      <c r="E17" s="72"/>
      <c r="F17" s="72"/>
      <c r="G17" s="72"/>
      <c r="H17" s="12">
        <v>12</v>
      </c>
      <c r="I17" s="11" t="str">
        <f>IF(tblNational_S_H[[#This Row],[Code]]&gt;9.99,LEFT(tblNational_S_H[[#This Row],[Code]],2),LEFT(tblNational_S_H[[#This Row],[Code]],1))</f>
        <v>3</v>
      </c>
      <c r="J17" s="133" t="s">
        <v>115</v>
      </c>
      <c r="K17" s="139">
        <v>3</v>
      </c>
      <c r="L17" s="134" t="s">
        <v>196</v>
      </c>
      <c r="M17" s="123"/>
      <c r="N17" s="126"/>
      <c r="O17" s="126"/>
      <c r="P17" s="124" t="str">
        <f>IFERROR(VLOOKUP(tblNational_S_H[[#This Row],[Rating]],Guidance!$A$11:$C$15,3,0),"")</f>
        <v/>
      </c>
      <c r="Q17"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17" s="97" t="str">
        <f t="shared" si="4"/>
        <v>Sanitation &amp; hygiene</v>
      </c>
      <c r="T17" s="98" t="str">
        <f t="shared" si="3"/>
        <v>fill in name of country/state in guidance sheet</v>
      </c>
      <c r="U17" s="82">
        <v>9</v>
      </c>
      <c r="V17" s="82" t="s">
        <v>117</v>
      </c>
      <c r="W17" s="103" t="str">
        <f>IFERROR(VLOOKUP(Results_S_H_national[[#This Row],[Indicator]],tblNational_S_H[[#All],[Code]:[Index]],7,0),"")</f>
        <v/>
      </c>
    </row>
    <row r="18" spans="1:23" ht="83.5" customHeight="1" x14ac:dyDescent="0.2">
      <c r="A18" s="12" t="str">
        <f t="shared" si="0"/>
        <v>fill in name of country/state in guidance sheet</v>
      </c>
      <c r="B18" s="12">
        <f t="shared" si="1"/>
        <v>2026</v>
      </c>
      <c r="C18" s="12" t="s">
        <v>92</v>
      </c>
      <c r="D18" s="2" t="str">
        <f t="shared" si="2"/>
        <v>Sanitation &amp; hygiene</v>
      </c>
      <c r="E18" s="72"/>
      <c r="F18" s="72"/>
      <c r="G18" s="72"/>
      <c r="H18" s="12">
        <v>13</v>
      </c>
      <c r="I18" s="11" t="str">
        <f>IF(tblNational_S_H[[#This Row],[Code]]&gt;9.99,LEFT(tblNational_S_H[[#This Row],[Code]],2),LEFT(tblNational_S_H[[#This Row],[Code]],1))</f>
        <v>3</v>
      </c>
      <c r="J18" s="74" t="s">
        <v>115</v>
      </c>
      <c r="K18" s="76">
        <v>3.1</v>
      </c>
      <c r="L18" s="80" t="s">
        <v>197</v>
      </c>
      <c r="M18" s="95"/>
      <c r="N18" s="73"/>
      <c r="O18" s="73"/>
      <c r="P18" s="129" t="str">
        <f>IFERROR(VLOOKUP(tblNational_S_H[[#This Row],[Rating]],Guidance!$A$11:$C$15,3,0),"")</f>
        <v/>
      </c>
      <c r="Q18" s="117"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18" s="97" t="str">
        <f t="shared" si="4"/>
        <v>Sanitation &amp; hygiene</v>
      </c>
      <c r="T18" s="98" t="str">
        <f t="shared" si="3"/>
        <v>fill in name of country/state in guidance sheet</v>
      </c>
      <c r="U18" s="82">
        <v>10</v>
      </c>
      <c r="V18" s="82" t="s">
        <v>119</v>
      </c>
      <c r="W18" s="103" t="str">
        <f>IFERROR(VLOOKUP(Results_S_H_national[[#This Row],[Indicator]],tblNational_S_H[[#All],[Code]:[Index]],7,0),"")</f>
        <v/>
      </c>
    </row>
    <row r="19" spans="1:23" ht="83.5" customHeight="1" x14ac:dyDescent="0.2">
      <c r="A19" s="12" t="str">
        <f t="shared" si="0"/>
        <v>fill in name of country/state in guidance sheet</v>
      </c>
      <c r="B19" s="12">
        <f t="shared" si="1"/>
        <v>2026</v>
      </c>
      <c r="C19" s="12" t="s">
        <v>92</v>
      </c>
      <c r="D19" s="2" t="str">
        <f t="shared" si="2"/>
        <v>Sanitation &amp; hygiene</v>
      </c>
      <c r="E19" s="72"/>
      <c r="F19" s="72"/>
      <c r="G19" s="72"/>
      <c r="H19" s="12">
        <v>14</v>
      </c>
      <c r="I19" s="11" t="str">
        <f>IF(tblNational_S_H[[#This Row],[Code]]&gt;9.99,LEFT(tblNational_S_H[[#This Row],[Code]],2),LEFT(tblNational_S_H[[#This Row],[Code]],1))</f>
        <v>3</v>
      </c>
      <c r="J19" s="74" t="s">
        <v>115</v>
      </c>
      <c r="K19" s="76">
        <v>3.2</v>
      </c>
      <c r="L19" s="80" t="s">
        <v>198</v>
      </c>
      <c r="M19" s="95"/>
      <c r="N19" s="73"/>
      <c r="O19" s="73"/>
      <c r="P19" s="119" t="str">
        <f>IFERROR(VLOOKUP(tblNational_S_H[[#This Row],[Rating]],Guidance!$A$11:$C$15,3,0),"")</f>
        <v/>
      </c>
      <c r="Q19"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S19" s="97" t="s">
        <v>121</v>
      </c>
      <c r="T19" s="98"/>
      <c r="U19" s="102" t="s">
        <v>122</v>
      </c>
      <c r="V19" s="102" t="s">
        <v>122</v>
      </c>
      <c r="W19" s="103" t="str">
        <f>IFERROR(SUBTOTAL(101,Results_S_H_national[Index]),"")</f>
        <v/>
      </c>
    </row>
    <row r="20" spans="1:23" ht="83.5" customHeight="1" x14ac:dyDescent="0.2">
      <c r="A20" s="12" t="str">
        <f t="shared" si="0"/>
        <v>fill in name of country/state in guidance sheet</v>
      </c>
      <c r="B20" s="12">
        <f t="shared" si="1"/>
        <v>2026</v>
      </c>
      <c r="C20" s="12" t="s">
        <v>92</v>
      </c>
      <c r="D20" s="2" t="str">
        <f t="shared" si="2"/>
        <v>Sanitation &amp; hygiene</v>
      </c>
      <c r="E20" s="72"/>
      <c r="F20" s="72"/>
      <c r="G20" s="72"/>
      <c r="H20" s="12">
        <v>15</v>
      </c>
      <c r="I20" s="11" t="str">
        <f>IF(tblNational_S_H[[#This Row],[Code]]&gt;9.99,LEFT(tblNational_S_H[[#This Row],[Code]],2),LEFT(tblNational_S_H[[#This Row],[Code]],1))</f>
        <v>3</v>
      </c>
      <c r="J20" s="74" t="s">
        <v>115</v>
      </c>
      <c r="K20" s="76">
        <v>3.3</v>
      </c>
      <c r="L20" s="77" t="s">
        <v>199</v>
      </c>
      <c r="M20" s="95"/>
      <c r="N20" s="111"/>
      <c r="O20" s="112"/>
      <c r="P20" s="119" t="str">
        <f>IFERROR(VLOOKUP(tblNational_S_H[[#This Row],[Rating]],Guidance!$A$11:$C$15,3,0),"")</f>
        <v/>
      </c>
      <c r="Q20"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20"/>
      <c r="V20"/>
      <c r="W20"/>
    </row>
    <row r="21" spans="1:23" ht="83.5" customHeight="1" x14ac:dyDescent="0.2">
      <c r="A21" s="12" t="str">
        <f t="shared" si="0"/>
        <v>fill in name of country/state in guidance sheet</v>
      </c>
      <c r="B21" s="12">
        <f t="shared" si="1"/>
        <v>2026</v>
      </c>
      <c r="C21" s="12" t="s">
        <v>86</v>
      </c>
      <c r="D21" s="2" t="str">
        <f t="shared" si="2"/>
        <v>Sanitation &amp; hygiene</v>
      </c>
      <c r="E21" s="72"/>
      <c r="F21" s="72"/>
      <c r="G21" s="72"/>
      <c r="H21" s="12">
        <v>16</v>
      </c>
      <c r="I21" s="11" t="str">
        <f>IF(tblNational_S_H[[#This Row],[Code]]&gt;9.99,LEFT(tblNational_S_H[[#This Row],[Code]],2),LEFT(tblNational_S_H[[#This Row],[Code]],1))</f>
        <v>4</v>
      </c>
      <c r="J21" s="133" t="s">
        <v>106</v>
      </c>
      <c r="K21" s="139">
        <v>4</v>
      </c>
      <c r="L21" s="135" t="s">
        <v>125</v>
      </c>
      <c r="M21" s="123"/>
      <c r="N21" s="126"/>
      <c r="O21" s="126"/>
      <c r="P21" s="124" t="str">
        <f>IFERROR(VLOOKUP(tblNational_S_H[[#This Row],[Rating]],Guidance!$A$11:$C$15,3,0),"")</f>
        <v/>
      </c>
      <c r="Q21"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21"/>
      <c r="V21"/>
      <c r="W21"/>
    </row>
    <row r="22" spans="1:23" ht="83.5" customHeight="1" x14ac:dyDescent="0.2">
      <c r="A22" s="12" t="str">
        <f t="shared" si="0"/>
        <v>fill in name of country/state in guidance sheet</v>
      </c>
      <c r="B22" s="12">
        <f t="shared" si="1"/>
        <v>2026</v>
      </c>
      <c r="C22" s="12" t="s">
        <v>92</v>
      </c>
      <c r="D22" s="2" t="str">
        <f t="shared" si="2"/>
        <v>Sanitation &amp; hygiene</v>
      </c>
      <c r="E22" s="72"/>
      <c r="F22" s="72"/>
      <c r="G22" s="72"/>
      <c r="H22" s="12">
        <v>17</v>
      </c>
      <c r="I22" s="11" t="str">
        <f>IF(tblNational_S_H[[#This Row],[Code]]&gt;9.99,LEFT(tblNational_S_H[[#This Row],[Code]],2),LEFT(tblNational_S_H[[#This Row],[Code]],1))</f>
        <v>4</v>
      </c>
      <c r="J22" s="74" t="s">
        <v>106</v>
      </c>
      <c r="K22" s="76">
        <v>4.0999999999999996</v>
      </c>
      <c r="L22" s="80" t="s">
        <v>200</v>
      </c>
      <c r="M22" s="95"/>
      <c r="N22" s="73"/>
      <c r="O22" s="73"/>
      <c r="P22" s="130" t="str">
        <f>IFERROR(VLOOKUP(tblNational_S_H[[#This Row],[Rating]],Guidance!$A$11:$C$15,3,0),"")</f>
        <v/>
      </c>
      <c r="Q22" s="117"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22"/>
      <c r="V22"/>
      <c r="W22"/>
    </row>
    <row r="23" spans="1:23" ht="83.5" customHeight="1" x14ac:dyDescent="0.2">
      <c r="A23" s="12" t="str">
        <f t="shared" si="0"/>
        <v>fill in name of country/state in guidance sheet</v>
      </c>
      <c r="B23" s="12">
        <f t="shared" si="1"/>
        <v>2026</v>
      </c>
      <c r="C23" s="12" t="s">
        <v>92</v>
      </c>
      <c r="D23" s="2" t="str">
        <f t="shared" si="2"/>
        <v>Sanitation &amp; hygiene</v>
      </c>
      <c r="E23" s="72"/>
      <c r="F23" s="72" t="s">
        <v>100</v>
      </c>
      <c r="G23" s="72"/>
      <c r="H23" s="12">
        <v>18</v>
      </c>
      <c r="I23" s="11" t="str">
        <f>IF(tblNational_S_H[[#This Row],[Code]]&gt;9.99,LEFT(tblNational_S_H[[#This Row],[Code]],2),LEFT(tblNational_S_H[[#This Row],[Code]],1))</f>
        <v>4</v>
      </c>
      <c r="J23" s="74" t="s">
        <v>106</v>
      </c>
      <c r="K23" s="76">
        <v>4.2</v>
      </c>
      <c r="L23" s="81" t="s">
        <v>201</v>
      </c>
      <c r="M23" s="95"/>
      <c r="N23" s="73"/>
      <c r="O23" s="73"/>
      <c r="P23" s="114" t="str">
        <f>IFERROR(VLOOKUP(tblNational_S_H[[#This Row],[Rating]],Guidance!$A$11:$C$15,3,0),"")</f>
        <v/>
      </c>
      <c r="Q23"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23"/>
      <c r="V23"/>
      <c r="W23"/>
    </row>
    <row r="24" spans="1:23" ht="83.5" customHeight="1" x14ac:dyDescent="0.2">
      <c r="A24" s="12" t="str">
        <f t="shared" si="0"/>
        <v>fill in name of country/state in guidance sheet</v>
      </c>
      <c r="B24" s="12">
        <f t="shared" si="1"/>
        <v>2026</v>
      </c>
      <c r="C24" s="12" t="s">
        <v>92</v>
      </c>
      <c r="D24" s="2" t="str">
        <f t="shared" si="2"/>
        <v>Sanitation &amp; hygiene</v>
      </c>
      <c r="E24" s="72"/>
      <c r="F24" s="72" t="s">
        <v>100</v>
      </c>
      <c r="G24" s="72"/>
      <c r="H24" s="12">
        <v>19</v>
      </c>
      <c r="I24" s="11" t="str">
        <f>IF(tblNational_S_H[[#This Row],[Code]]&gt;9.99,LEFT(tblNational_S_H[[#This Row],[Code]],2),LEFT(tblNational_S_H[[#This Row],[Code]],1))</f>
        <v>4</v>
      </c>
      <c r="J24" s="74" t="s">
        <v>106</v>
      </c>
      <c r="K24" s="76">
        <v>4.3</v>
      </c>
      <c r="L24" s="77" t="s">
        <v>202</v>
      </c>
      <c r="M24" s="95"/>
      <c r="N24" s="111"/>
      <c r="O24" s="112"/>
      <c r="P24" s="114" t="str">
        <f>IFERROR(VLOOKUP(tblNational_S_H[[#This Row],[Rating]],Guidance!$A$11:$C$15,3,0),"")</f>
        <v/>
      </c>
      <c r="Q24"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24"/>
      <c r="V24"/>
      <c r="W24"/>
    </row>
    <row r="25" spans="1:23" ht="83.5" customHeight="1" x14ac:dyDescent="0.2">
      <c r="A25" s="12" t="str">
        <f t="shared" si="0"/>
        <v>fill in name of country/state in guidance sheet</v>
      </c>
      <c r="B25" s="12">
        <f t="shared" si="1"/>
        <v>2026</v>
      </c>
      <c r="C25" s="12" t="s">
        <v>92</v>
      </c>
      <c r="D25" s="2" t="str">
        <f t="shared" si="2"/>
        <v>Sanitation &amp; hygiene</v>
      </c>
      <c r="E25" s="72"/>
      <c r="F25" s="72" t="s">
        <v>100</v>
      </c>
      <c r="G25" s="72" t="s">
        <v>100</v>
      </c>
      <c r="H25" s="12">
        <v>20</v>
      </c>
      <c r="I25" s="11" t="str">
        <f>IF(tblNational_S_H[[#This Row],[Code]]&gt;9.99,LEFT(tblNational_S_H[[#This Row],[Code]],2),LEFT(tblNational_S_H[[#This Row],[Code]],1))</f>
        <v>4</v>
      </c>
      <c r="J25" s="74" t="s">
        <v>106</v>
      </c>
      <c r="K25" s="78">
        <v>4.4000000000000004</v>
      </c>
      <c r="L25" s="79" t="s">
        <v>130</v>
      </c>
      <c r="M25" s="95"/>
      <c r="N25" s="73"/>
      <c r="O25" s="73"/>
      <c r="P25" s="114" t="str">
        <f>IFERROR(VLOOKUP(tblNational_S_H[[#This Row],[Rating]],Guidance!$A$11:$C$15,3,0),"")</f>
        <v/>
      </c>
      <c r="Q25"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25"/>
      <c r="V25"/>
      <c r="W25"/>
    </row>
    <row r="26" spans="1:23" ht="83.5" customHeight="1" x14ac:dyDescent="0.2">
      <c r="A26" s="12" t="str">
        <f t="shared" si="0"/>
        <v>fill in name of country/state in guidance sheet</v>
      </c>
      <c r="B26" s="12">
        <f t="shared" si="1"/>
        <v>2026</v>
      </c>
      <c r="C26" s="12" t="s">
        <v>92</v>
      </c>
      <c r="D26" s="2" t="str">
        <f t="shared" si="2"/>
        <v>Sanitation &amp; hygiene</v>
      </c>
      <c r="E26" s="72"/>
      <c r="F26" s="72" t="s">
        <v>100</v>
      </c>
      <c r="G26" s="72"/>
      <c r="H26" s="12">
        <v>21</v>
      </c>
      <c r="I26" s="11" t="str">
        <f>IF(tblNational_S_H[[#This Row],[Code]]&gt;9.99,LEFT(tblNational_S_H[[#This Row],[Code]],2),LEFT(tblNational_S_H[[#This Row],[Code]],1))</f>
        <v>4</v>
      </c>
      <c r="J26" s="74" t="s">
        <v>106</v>
      </c>
      <c r="K26" s="76">
        <v>4.5</v>
      </c>
      <c r="L26" s="80" t="s">
        <v>203</v>
      </c>
      <c r="M26" s="95"/>
      <c r="N26" s="73"/>
      <c r="O26" s="73"/>
      <c r="P26" s="114" t="str">
        <f>IFERROR(VLOOKUP(tblNational_S_H[[#This Row],[Rating]],Guidance!$A$11:$C$15,3,0),"")</f>
        <v/>
      </c>
      <c r="Q26"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26"/>
      <c r="V26"/>
      <c r="W26"/>
    </row>
    <row r="27" spans="1:23" ht="83.5" customHeight="1" x14ac:dyDescent="0.2">
      <c r="A27" s="12" t="str">
        <f t="shared" si="0"/>
        <v>fill in name of country/state in guidance sheet</v>
      </c>
      <c r="B27" s="12">
        <f t="shared" si="1"/>
        <v>2026</v>
      </c>
      <c r="C27" s="12" t="s">
        <v>92</v>
      </c>
      <c r="D27" s="2" t="str">
        <f t="shared" si="2"/>
        <v>Sanitation &amp; hygiene</v>
      </c>
      <c r="E27" s="72"/>
      <c r="F27" s="72"/>
      <c r="G27" s="72" t="s">
        <v>100</v>
      </c>
      <c r="H27" s="12">
        <v>22</v>
      </c>
      <c r="I27" s="11" t="str">
        <f>IF(tblNational_S_H[[#This Row],[Code]]&gt;9.99,LEFT(tblNational_S_H[[#This Row],[Code]],2),LEFT(tblNational_S_H[[#This Row],[Code]],1))</f>
        <v>4</v>
      </c>
      <c r="J27" s="74" t="s">
        <v>106</v>
      </c>
      <c r="K27" s="78">
        <v>4.5999999999999996</v>
      </c>
      <c r="L27" s="91" t="s">
        <v>132</v>
      </c>
      <c r="M27" s="95"/>
      <c r="N27" s="73"/>
      <c r="O27" s="73"/>
      <c r="P27" s="114" t="str">
        <f>IFERROR(VLOOKUP(tblNational_S_H[[#This Row],[Rating]],Guidance!$A$11:$C$15,3,0),"")</f>
        <v/>
      </c>
      <c r="Q27"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27"/>
      <c r="V27"/>
      <c r="W27"/>
    </row>
    <row r="28" spans="1:23" ht="83.5" customHeight="1" x14ac:dyDescent="0.2">
      <c r="A28" s="12" t="str">
        <f t="shared" si="0"/>
        <v>fill in name of country/state in guidance sheet</v>
      </c>
      <c r="B28" s="12">
        <f t="shared" si="1"/>
        <v>2026</v>
      </c>
      <c r="C28" s="12" t="s">
        <v>92</v>
      </c>
      <c r="D28" s="2" t="str">
        <f t="shared" si="2"/>
        <v>Sanitation &amp; hygiene</v>
      </c>
      <c r="E28" s="72" t="s">
        <v>100</v>
      </c>
      <c r="F28" s="72"/>
      <c r="G28" s="72"/>
      <c r="H28" s="12">
        <v>23</v>
      </c>
      <c r="I28" s="11" t="str">
        <f>IF(tblNational_S_H[[#This Row],[Code]]&gt;9.99,LEFT(tblNational_S_H[[#This Row],[Code]],2),LEFT(tblNational_S_H[[#This Row],[Code]],1))</f>
        <v>4</v>
      </c>
      <c r="J28" s="74" t="s">
        <v>106</v>
      </c>
      <c r="K28" s="76">
        <v>4.7</v>
      </c>
      <c r="L28" s="80" t="s">
        <v>204</v>
      </c>
      <c r="M28" s="95"/>
      <c r="N28" s="73"/>
      <c r="O28" s="73"/>
      <c r="P28" s="114" t="str">
        <f>IFERROR(VLOOKUP(tblNational_S_H[[#This Row],[Rating]],Guidance!$A$11:$C$15,3,0),"")</f>
        <v/>
      </c>
      <c r="Q28"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28"/>
      <c r="V28"/>
      <c r="W28"/>
    </row>
    <row r="29" spans="1:23" ht="83.5" customHeight="1" x14ac:dyDescent="0.2">
      <c r="A29" s="12" t="str">
        <f t="shared" si="0"/>
        <v>fill in name of country/state in guidance sheet</v>
      </c>
      <c r="B29" s="12">
        <f t="shared" si="1"/>
        <v>2026</v>
      </c>
      <c r="C29" s="12" t="s">
        <v>92</v>
      </c>
      <c r="D29" s="2" t="str">
        <f t="shared" si="2"/>
        <v>Sanitation &amp; hygiene</v>
      </c>
      <c r="E29" s="72" t="s">
        <v>100</v>
      </c>
      <c r="F29" s="72"/>
      <c r="G29" s="72"/>
      <c r="H29" s="12">
        <v>24</v>
      </c>
      <c r="I29" s="11" t="str">
        <f>IF(tblNational_S_H[[#This Row],[Code]]&gt;9.99,LEFT(tblNational_S_H[[#This Row],[Code]],2),LEFT(tblNational_S_H[[#This Row],[Code]],1))</f>
        <v>4</v>
      </c>
      <c r="J29" s="74" t="s">
        <v>106</v>
      </c>
      <c r="K29" s="78">
        <v>4.8</v>
      </c>
      <c r="L29" s="80" t="s">
        <v>205</v>
      </c>
      <c r="M29" s="95"/>
      <c r="N29" s="73"/>
      <c r="O29" s="73"/>
      <c r="P29" s="122" t="str">
        <f>IFERROR(VLOOKUP(tblNational_S_H[[#This Row],[Rating]],Guidance!$A$11:$C$15,3,0),"")</f>
        <v/>
      </c>
      <c r="Q29" s="116"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29"/>
      <c r="V29"/>
      <c r="W29"/>
    </row>
    <row r="30" spans="1:23" ht="83.5" customHeight="1" x14ac:dyDescent="0.2">
      <c r="A30" s="12" t="str">
        <f t="shared" si="0"/>
        <v>fill in name of country/state in guidance sheet</v>
      </c>
      <c r="B30" s="12">
        <f t="shared" si="1"/>
        <v>2026</v>
      </c>
      <c r="C30" s="12" t="s">
        <v>86</v>
      </c>
      <c r="D30" s="2" t="str">
        <f t="shared" si="2"/>
        <v>Sanitation &amp; hygiene</v>
      </c>
      <c r="E30" s="72"/>
      <c r="F30" s="72"/>
      <c r="G30" s="72"/>
      <c r="H30" s="12">
        <v>25</v>
      </c>
      <c r="I30" s="11" t="str">
        <f>IF(tblNational_S_H[[#This Row],[Code]]&gt;9.99,LEFT(tblNational_S_H[[#This Row],[Code]],2),LEFT(tblNational_S_H[[#This Row],[Code]],1))</f>
        <v>5</v>
      </c>
      <c r="J30" s="133" t="s">
        <v>135</v>
      </c>
      <c r="K30" s="139">
        <v>5</v>
      </c>
      <c r="L30" s="134" t="s">
        <v>136</v>
      </c>
      <c r="M30" s="123"/>
      <c r="N30" s="126"/>
      <c r="O30" s="126"/>
      <c r="P30" s="124" t="str">
        <f>IFERROR(VLOOKUP(tblNational_S_H[[#This Row],[Rating]],Guidance!$A$11:$C$15,3,0),"")</f>
        <v/>
      </c>
      <c r="Q30"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30"/>
      <c r="V30"/>
      <c r="W30"/>
    </row>
    <row r="31" spans="1:23" ht="83.5" customHeight="1" x14ac:dyDescent="0.2">
      <c r="A31" s="12" t="str">
        <f t="shared" si="0"/>
        <v>fill in name of country/state in guidance sheet</v>
      </c>
      <c r="B31" s="12">
        <f t="shared" si="1"/>
        <v>2026</v>
      </c>
      <c r="C31" s="12" t="s">
        <v>92</v>
      </c>
      <c r="D31" s="2" t="str">
        <f t="shared" si="2"/>
        <v>Sanitation &amp; hygiene</v>
      </c>
      <c r="E31" s="72"/>
      <c r="F31" s="72" t="s">
        <v>100</v>
      </c>
      <c r="G31" s="72"/>
      <c r="H31" s="12">
        <v>26</v>
      </c>
      <c r="I31" s="11" t="str">
        <f>IF(tblNational_S_H[[#This Row],[Code]]&gt;9.99,LEFT(tblNational_S_H[[#This Row],[Code]],2),LEFT(tblNational_S_H[[#This Row],[Code]],1))</f>
        <v>5</v>
      </c>
      <c r="J31" s="74" t="s">
        <v>135</v>
      </c>
      <c r="K31" s="78">
        <v>5.0999999999999996</v>
      </c>
      <c r="L31" s="80" t="s">
        <v>137</v>
      </c>
      <c r="M31" s="95"/>
      <c r="N31" s="73"/>
      <c r="O31" s="73"/>
      <c r="P31" s="128" t="str">
        <f>IFERROR(VLOOKUP(tblNational_S_H[[#This Row],[Rating]],Guidance!$A$11:$C$15,3,0),"")</f>
        <v/>
      </c>
      <c r="Q31"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31"/>
      <c r="V31"/>
      <c r="W31"/>
    </row>
    <row r="32" spans="1:23" ht="83.5" customHeight="1" x14ac:dyDescent="0.2">
      <c r="A32" s="12" t="str">
        <f t="shared" si="0"/>
        <v>fill in name of country/state in guidance sheet</v>
      </c>
      <c r="B32" s="12">
        <f t="shared" si="1"/>
        <v>2026</v>
      </c>
      <c r="C32" s="12" t="s">
        <v>92</v>
      </c>
      <c r="D32" s="2" t="str">
        <f t="shared" si="2"/>
        <v>Sanitation &amp; hygiene</v>
      </c>
      <c r="E32" s="72"/>
      <c r="F32" s="72"/>
      <c r="G32" s="72"/>
      <c r="H32" s="12">
        <v>27</v>
      </c>
      <c r="I32" s="11" t="str">
        <f>IF(tblNational_S_H[[#This Row],[Code]]&gt;9.99,LEFT(tblNational_S_H[[#This Row],[Code]],2),LEFT(tblNational_S_H[[#This Row],[Code]],1))</f>
        <v>5</v>
      </c>
      <c r="J32" s="74" t="s">
        <v>135</v>
      </c>
      <c r="K32" s="76">
        <v>5.2</v>
      </c>
      <c r="L32" s="79" t="s">
        <v>206</v>
      </c>
      <c r="M32" s="95"/>
      <c r="N32" s="73"/>
      <c r="O32" s="73"/>
      <c r="P32" s="118" t="str">
        <f>IFERROR(VLOOKUP(tblNational_S_H[[#This Row],[Rating]],Guidance!$A$11:$C$15,3,0),"")</f>
        <v/>
      </c>
      <c r="Q32"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32"/>
      <c r="V32"/>
      <c r="W32"/>
    </row>
    <row r="33" spans="1:23" ht="83.5" customHeight="1" x14ac:dyDescent="0.2">
      <c r="A33" s="12" t="str">
        <f t="shared" si="0"/>
        <v>fill in name of country/state in guidance sheet</v>
      </c>
      <c r="B33" s="12">
        <f t="shared" si="1"/>
        <v>2026</v>
      </c>
      <c r="C33" s="12" t="s">
        <v>92</v>
      </c>
      <c r="D33" s="2" t="str">
        <f t="shared" si="2"/>
        <v>Sanitation &amp; hygiene</v>
      </c>
      <c r="E33" s="72"/>
      <c r="F33" s="72"/>
      <c r="G33" s="72"/>
      <c r="H33" s="12">
        <v>28</v>
      </c>
      <c r="I33" s="11" t="str">
        <f>IF(tblNational_S_H[[#This Row],[Code]]&gt;9.99,LEFT(tblNational_S_H[[#This Row],[Code]],2),LEFT(tblNational_S_H[[#This Row],[Code]],1))</f>
        <v>5</v>
      </c>
      <c r="J33" s="74" t="s">
        <v>135</v>
      </c>
      <c r="K33" s="76">
        <v>5.3</v>
      </c>
      <c r="L33" s="77" t="s">
        <v>139</v>
      </c>
      <c r="M33" s="95"/>
      <c r="N33" s="111"/>
      <c r="O33" s="112"/>
      <c r="P33" s="118" t="str">
        <f>IFERROR(VLOOKUP(tblNational_S_H[[#This Row],[Rating]],Guidance!$A$11:$C$15,3,0),"")</f>
        <v/>
      </c>
      <c r="Q33"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33"/>
      <c r="V33"/>
      <c r="W33"/>
    </row>
    <row r="34" spans="1:23" ht="83.5" customHeight="1" x14ac:dyDescent="0.2">
      <c r="A34" s="12" t="str">
        <f t="shared" si="0"/>
        <v>fill in name of country/state in guidance sheet</v>
      </c>
      <c r="B34" s="12">
        <f t="shared" si="1"/>
        <v>2026</v>
      </c>
      <c r="C34" s="12" t="s">
        <v>92</v>
      </c>
      <c r="D34" s="2" t="str">
        <f t="shared" si="2"/>
        <v>Sanitation &amp; hygiene</v>
      </c>
      <c r="E34" s="72"/>
      <c r="F34" s="72"/>
      <c r="G34" s="72" t="s">
        <v>100</v>
      </c>
      <c r="H34" s="12">
        <v>29</v>
      </c>
      <c r="I34" s="11" t="str">
        <f>IF(tblNational_S_H[[#This Row],[Code]]&gt;9.99,LEFT(tblNational_S_H[[#This Row],[Code]],2),LEFT(tblNational_S_H[[#This Row],[Code]],1))</f>
        <v>5</v>
      </c>
      <c r="J34" s="74" t="s">
        <v>135</v>
      </c>
      <c r="K34" s="76">
        <v>5.4</v>
      </c>
      <c r="L34" s="80" t="s">
        <v>207</v>
      </c>
      <c r="M34" s="95"/>
      <c r="N34" s="73"/>
      <c r="O34" s="73"/>
      <c r="P34" s="118" t="str">
        <f>IFERROR(VLOOKUP(tblNational_S_H[[#This Row],[Rating]],Guidance!$A$11:$C$15,3,0),"")</f>
        <v/>
      </c>
      <c r="Q34"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34"/>
      <c r="V34"/>
      <c r="W34"/>
    </row>
    <row r="35" spans="1:23" ht="83.5" customHeight="1" x14ac:dyDescent="0.2">
      <c r="A35" s="12" t="str">
        <f t="shared" si="0"/>
        <v>fill in name of country/state in guidance sheet</v>
      </c>
      <c r="B35" s="12">
        <f t="shared" si="1"/>
        <v>2026</v>
      </c>
      <c r="C35" s="12" t="s">
        <v>92</v>
      </c>
      <c r="D35" s="2" t="str">
        <f t="shared" si="2"/>
        <v>Sanitation &amp; hygiene</v>
      </c>
      <c r="E35" s="72"/>
      <c r="F35" s="72"/>
      <c r="G35" s="72" t="s">
        <v>100</v>
      </c>
      <c r="H35" s="12">
        <v>30</v>
      </c>
      <c r="I35" s="11" t="str">
        <f>IF(tblNational_S_H[[#This Row],[Code]]&gt;9.99,LEFT(tblNational_S_H[[#This Row],[Code]],2),LEFT(tblNational_S_H[[#This Row],[Code]],1))</f>
        <v>5</v>
      </c>
      <c r="J35" s="74" t="s">
        <v>135</v>
      </c>
      <c r="K35" s="76">
        <v>5.5</v>
      </c>
      <c r="L35" s="81" t="s">
        <v>141</v>
      </c>
      <c r="M35" s="95"/>
      <c r="N35" s="73"/>
      <c r="O35" s="73"/>
      <c r="P35" s="118" t="str">
        <f>IFERROR(VLOOKUP(tblNational_S_H[[#This Row],[Rating]],Guidance!$A$11:$C$15,3,0),"")</f>
        <v/>
      </c>
      <c r="Q35"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35"/>
      <c r="V35"/>
      <c r="W35"/>
    </row>
    <row r="36" spans="1:23" ht="83.5" customHeight="1" x14ac:dyDescent="0.2">
      <c r="A36" s="12" t="str">
        <f t="shared" si="0"/>
        <v>fill in name of country/state in guidance sheet</v>
      </c>
      <c r="B36" s="12">
        <f t="shared" si="1"/>
        <v>2026</v>
      </c>
      <c r="C36" s="12" t="s">
        <v>92</v>
      </c>
      <c r="D36" s="2" t="str">
        <f t="shared" si="2"/>
        <v>Sanitation &amp; hygiene</v>
      </c>
      <c r="E36" s="72" t="s">
        <v>100</v>
      </c>
      <c r="F36" s="72"/>
      <c r="G36" s="72"/>
      <c r="H36" s="12">
        <v>31</v>
      </c>
      <c r="I36" s="11" t="str">
        <f>IF(tblNational_S_H[[#This Row],[Code]]&gt;9.99,LEFT(tblNational_S_H[[#This Row],[Code]],2),LEFT(tblNational_S_H[[#This Row],[Code]],1))</f>
        <v>5</v>
      </c>
      <c r="J36" s="74" t="s">
        <v>135</v>
      </c>
      <c r="K36" s="76">
        <v>5.6</v>
      </c>
      <c r="L36" s="79" t="s">
        <v>208</v>
      </c>
      <c r="M36" s="95"/>
      <c r="N36" s="73"/>
      <c r="O36" s="73"/>
      <c r="P36" s="120" t="str">
        <f>IFERROR(VLOOKUP(tblNational_S_H[[#This Row],[Rating]],Guidance!$A$11:$C$15,3,0),"")</f>
        <v/>
      </c>
      <c r="Q36" s="116"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36"/>
      <c r="V36"/>
      <c r="W36"/>
    </row>
    <row r="37" spans="1:23" ht="83.5" customHeight="1" x14ac:dyDescent="0.2">
      <c r="A37" s="12" t="str">
        <f t="shared" si="0"/>
        <v>fill in name of country/state in guidance sheet</v>
      </c>
      <c r="B37" s="12">
        <f t="shared" si="1"/>
        <v>2026</v>
      </c>
      <c r="C37" s="12" t="s">
        <v>86</v>
      </c>
      <c r="D37" s="2" t="str">
        <f t="shared" si="2"/>
        <v>Sanitation &amp; hygiene</v>
      </c>
      <c r="E37" s="72"/>
      <c r="F37" s="72"/>
      <c r="G37" s="72"/>
      <c r="H37" s="12">
        <v>32</v>
      </c>
      <c r="I37" s="11" t="str">
        <f>IF(tblNational_S_H[[#This Row],[Code]]&gt;9.99,LEFT(tblNational_S_H[[#This Row],[Code]],2),LEFT(tblNational_S_H[[#This Row],[Code]],1))</f>
        <v>6</v>
      </c>
      <c r="J37" s="133" t="s">
        <v>110</v>
      </c>
      <c r="K37" s="139">
        <v>6</v>
      </c>
      <c r="L37" s="134" t="s">
        <v>143</v>
      </c>
      <c r="M37" s="123"/>
      <c r="N37" s="126"/>
      <c r="O37" s="126"/>
      <c r="P37" s="124" t="str">
        <f>IFERROR(VLOOKUP(tblNational_S_H[[#This Row],[Rating]],Guidance!$A$11:$C$15,3,0),"")</f>
        <v/>
      </c>
      <c r="Q37"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37"/>
      <c r="V37"/>
      <c r="W37"/>
    </row>
    <row r="38" spans="1:23" ht="83.5" customHeight="1" x14ac:dyDescent="0.2">
      <c r="A38" s="12" t="str">
        <f t="shared" ref="A38:A72" si="5">IF($O$1="Fill in Name","National",$O$1)</f>
        <v>fill in name of country/state in guidance sheet</v>
      </c>
      <c r="B38" s="12">
        <f t="shared" ref="B38:B72" si="6">Year</f>
        <v>2026</v>
      </c>
      <c r="C38" s="12" t="s">
        <v>92</v>
      </c>
      <c r="D38" s="2" t="str">
        <f t="shared" ref="D38:D72" si="7">$O$2</f>
        <v>Sanitation &amp; hygiene</v>
      </c>
      <c r="E38" s="72"/>
      <c r="F38" s="72"/>
      <c r="G38" s="72"/>
      <c r="H38" s="12">
        <v>33</v>
      </c>
      <c r="I38" s="11" t="str">
        <f>IF(tblNational_S_H[[#This Row],[Code]]&gt;9.99,LEFT(tblNational_S_H[[#This Row],[Code]],2),LEFT(tblNational_S_H[[#This Row],[Code]],1))</f>
        <v>6</v>
      </c>
      <c r="J38" s="74" t="s">
        <v>110</v>
      </c>
      <c r="K38" s="76">
        <v>6.1</v>
      </c>
      <c r="L38" s="81" t="s">
        <v>144</v>
      </c>
      <c r="M38" s="95"/>
      <c r="N38" s="73"/>
      <c r="O38" s="73"/>
      <c r="P38" s="129" t="str">
        <f>IFERROR(VLOOKUP(tblNational_S_H[[#This Row],[Rating]],Guidance!$A$11:$C$15,3,0),"")</f>
        <v/>
      </c>
      <c r="Q38" s="117"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38"/>
      <c r="V38"/>
      <c r="W38"/>
    </row>
    <row r="39" spans="1:23" ht="83.5" customHeight="1" x14ac:dyDescent="0.2">
      <c r="A39" s="12" t="str">
        <f t="shared" si="5"/>
        <v>fill in name of country/state in guidance sheet</v>
      </c>
      <c r="B39" s="12">
        <f t="shared" si="6"/>
        <v>2026</v>
      </c>
      <c r="C39" s="12" t="s">
        <v>92</v>
      </c>
      <c r="D39" s="2" t="str">
        <f t="shared" si="7"/>
        <v>Sanitation &amp; hygiene</v>
      </c>
      <c r="E39" s="72"/>
      <c r="F39" s="72"/>
      <c r="G39" s="72"/>
      <c r="H39" s="12">
        <v>34</v>
      </c>
      <c r="I39" s="11" t="str">
        <f>IF(tblNational_S_H[[#This Row],[Code]]&gt;9.99,LEFT(tblNational_S_H[[#This Row],[Code]],2),LEFT(tblNational_S_H[[#This Row],[Code]],1))</f>
        <v>6</v>
      </c>
      <c r="J39" s="74" t="s">
        <v>110</v>
      </c>
      <c r="K39" s="76">
        <v>6.2</v>
      </c>
      <c r="L39" s="80" t="s">
        <v>145</v>
      </c>
      <c r="M39" s="95"/>
      <c r="N39" s="73"/>
      <c r="O39" s="73"/>
      <c r="P39" s="119" t="str">
        <f>IFERROR(VLOOKUP(tblNational_S_H[[#This Row],[Rating]],Guidance!$A$11:$C$15,3,0),"")</f>
        <v/>
      </c>
      <c r="Q39"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39"/>
      <c r="V39"/>
      <c r="W39"/>
    </row>
    <row r="40" spans="1:23" ht="83.5" customHeight="1" x14ac:dyDescent="0.2">
      <c r="A40" s="12" t="str">
        <f t="shared" si="5"/>
        <v>fill in name of country/state in guidance sheet</v>
      </c>
      <c r="B40" s="12">
        <f t="shared" si="6"/>
        <v>2026</v>
      </c>
      <c r="C40" s="12" t="s">
        <v>92</v>
      </c>
      <c r="D40" s="2" t="str">
        <f t="shared" si="7"/>
        <v>Sanitation &amp; hygiene</v>
      </c>
      <c r="E40" s="72"/>
      <c r="F40" s="72"/>
      <c r="G40" s="72"/>
      <c r="H40" s="12">
        <v>35</v>
      </c>
      <c r="I40" s="11" t="str">
        <f>IF(tblNational_S_H[[#This Row],[Code]]&gt;9.99,LEFT(tblNational_S_H[[#This Row],[Code]],2),LEFT(tblNational_S_H[[#This Row],[Code]],1))</f>
        <v>6</v>
      </c>
      <c r="J40" s="74" t="s">
        <v>110</v>
      </c>
      <c r="K40" s="76">
        <v>6.3</v>
      </c>
      <c r="L40" s="77" t="s">
        <v>209</v>
      </c>
      <c r="M40" s="95"/>
      <c r="N40" s="111"/>
      <c r="O40" s="112"/>
      <c r="P40" s="119" t="str">
        <f>IFERROR(VLOOKUP(tblNational_S_H[[#This Row],[Rating]],Guidance!$A$11:$C$15,3,0),"")</f>
        <v/>
      </c>
      <c r="Q40"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40"/>
      <c r="V40"/>
      <c r="W40"/>
    </row>
    <row r="41" spans="1:23" ht="83.5" customHeight="1" x14ac:dyDescent="0.2">
      <c r="A41" s="12" t="str">
        <f t="shared" si="5"/>
        <v>fill in name of country/state in guidance sheet</v>
      </c>
      <c r="B41" s="12">
        <f t="shared" si="6"/>
        <v>2026</v>
      </c>
      <c r="C41" s="12" t="s">
        <v>92</v>
      </c>
      <c r="D41" s="2" t="str">
        <f t="shared" si="7"/>
        <v>Sanitation &amp; hygiene</v>
      </c>
      <c r="E41" s="72"/>
      <c r="F41" s="72"/>
      <c r="G41" s="72"/>
      <c r="H41" s="12">
        <v>36</v>
      </c>
      <c r="I41" s="11" t="str">
        <f>IF(tblNational_S_H[[#This Row],[Code]]&gt;9.99,LEFT(tblNational_S_H[[#This Row],[Code]],2),LEFT(tblNational_S_H[[#This Row],[Code]],1))</f>
        <v>6</v>
      </c>
      <c r="J41" s="74" t="s">
        <v>110</v>
      </c>
      <c r="K41" s="76">
        <v>6.4</v>
      </c>
      <c r="L41" s="79" t="s">
        <v>147</v>
      </c>
      <c r="M41" s="95"/>
      <c r="N41" s="73"/>
      <c r="O41" s="73"/>
      <c r="P41" s="119" t="str">
        <f>IFERROR(VLOOKUP(tblNational_S_H[[#This Row],[Rating]],Guidance!$A$11:$C$15,3,0),"")</f>
        <v/>
      </c>
      <c r="Q41"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41"/>
      <c r="V41"/>
      <c r="W41"/>
    </row>
    <row r="42" spans="1:23" ht="83.5" customHeight="1" x14ac:dyDescent="0.2">
      <c r="A42" s="12" t="str">
        <f t="shared" si="5"/>
        <v>fill in name of country/state in guidance sheet</v>
      </c>
      <c r="B42" s="12">
        <f t="shared" si="6"/>
        <v>2026</v>
      </c>
      <c r="C42" s="12" t="s">
        <v>92</v>
      </c>
      <c r="D42" s="2" t="str">
        <f t="shared" si="7"/>
        <v>Sanitation &amp; hygiene</v>
      </c>
      <c r="E42" s="72"/>
      <c r="F42" s="72"/>
      <c r="G42" s="72"/>
      <c r="H42" s="12">
        <v>37</v>
      </c>
      <c r="I42" s="11" t="str">
        <f>IF(tblNational_S_H[[#This Row],[Code]]&gt;9.99,LEFT(tblNational_S_H[[#This Row],[Code]],2),LEFT(tblNational_S_H[[#This Row],[Code]],1))</f>
        <v>6</v>
      </c>
      <c r="J42" s="74" t="s">
        <v>110</v>
      </c>
      <c r="K42" s="78">
        <v>6.5</v>
      </c>
      <c r="L42" s="79" t="s">
        <v>148</v>
      </c>
      <c r="M42" s="95"/>
      <c r="N42" s="73"/>
      <c r="O42" s="73"/>
      <c r="P42" s="119" t="str">
        <f>IFERROR(VLOOKUP(tblNational_S_H[[#This Row],[Rating]],Guidance!$A$11:$C$15,3,0),"")</f>
        <v/>
      </c>
      <c r="Q42"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42"/>
      <c r="V42"/>
      <c r="W42"/>
    </row>
    <row r="43" spans="1:23" ht="83.5" customHeight="1" x14ac:dyDescent="0.2">
      <c r="A43" s="12" t="str">
        <f t="shared" si="5"/>
        <v>fill in name of country/state in guidance sheet</v>
      </c>
      <c r="B43" s="12">
        <f t="shared" si="6"/>
        <v>2026</v>
      </c>
      <c r="C43" s="12" t="s">
        <v>92</v>
      </c>
      <c r="D43" s="2" t="str">
        <f t="shared" si="7"/>
        <v>Sanitation &amp; hygiene</v>
      </c>
      <c r="E43" s="72"/>
      <c r="F43" s="72"/>
      <c r="G43" s="72" t="s">
        <v>100</v>
      </c>
      <c r="H43" s="12">
        <v>38</v>
      </c>
      <c r="I43" s="11" t="str">
        <f>IF(tblNational_S_H[[#This Row],[Code]]&gt;9.99,LEFT(tblNational_S_H[[#This Row],[Code]],2),LEFT(tblNational_S_H[[#This Row],[Code]],1))</f>
        <v>6</v>
      </c>
      <c r="J43" s="74" t="s">
        <v>110</v>
      </c>
      <c r="K43" s="76">
        <v>6.6</v>
      </c>
      <c r="L43" s="91" t="s">
        <v>149</v>
      </c>
      <c r="M43" s="95"/>
      <c r="N43" s="73"/>
      <c r="O43" s="73"/>
      <c r="P43" s="119" t="str">
        <f>IFERROR(VLOOKUP(tblNational_S_H[[#This Row],[Rating]],Guidance!$A$11:$C$15,3,0),"")</f>
        <v/>
      </c>
      <c r="Q43"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43"/>
      <c r="V43"/>
      <c r="W43"/>
    </row>
    <row r="44" spans="1:23" ht="83.5" customHeight="1" x14ac:dyDescent="0.2">
      <c r="A44" s="12" t="str">
        <f t="shared" si="5"/>
        <v>fill in name of country/state in guidance sheet</v>
      </c>
      <c r="B44" s="12">
        <f t="shared" si="6"/>
        <v>2026</v>
      </c>
      <c r="C44" s="12" t="s">
        <v>92</v>
      </c>
      <c r="D44" s="2" t="str">
        <f t="shared" si="7"/>
        <v>Sanitation &amp; hygiene</v>
      </c>
      <c r="E44" s="72" t="s">
        <v>100</v>
      </c>
      <c r="F44" s="72"/>
      <c r="G44" s="72"/>
      <c r="H44" s="12">
        <v>39</v>
      </c>
      <c r="I44" s="11" t="str">
        <f>IF(tblNational_S_H[[#This Row],[Code]]&gt;9.99,LEFT(tblNational_S_H[[#This Row],[Code]],2),LEFT(tblNational_S_H[[#This Row],[Code]],1))</f>
        <v>6</v>
      </c>
      <c r="J44" s="74" t="s">
        <v>110</v>
      </c>
      <c r="K44" s="78">
        <v>6.7</v>
      </c>
      <c r="L44" s="80" t="s">
        <v>210</v>
      </c>
      <c r="M44" s="95"/>
      <c r="N44" s="73"/>
      <c r="O44" s="73"/>
      <c r="P44" s="121" t="str">
        <f>IFERROR(VLOOKUP(tblNational_S_H[[#This Row],[Rating]],Guidance!$A$11:$C$15,3,0),"")</f>
        <v/>
      </c>
      <c r="Q44" s="116"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44"/>
      <c r="V44"/>
      <c r="W44"/>
    </row>
    <row r="45" spans="1:23" ht="83.5" customHeight="1" x14ac:dyDescent="0.2">
      <c r="A45" s="12" t="str">
        <f t="shared" si="5"/>
        <v>fill in name of country/state in guidance sheet</v>
      </c>
      <c r="B45" s="12">
        <f t="shared" si="6"/>
        <v>2026</v>
      </c>
      <c r="C45" s="12" t="s">
        <v>86</v>
      </c>
      <c r="D45" s="2" t="str">
        <f t="shared" si="7"/>
        <v>Sanitation &amp; hygiene</v>
      </c>
      <c r="E45" s="72"/>
      <c r="F45" s="72"/>
      <c r="G45" s="72"/>
      <c r="H45" s="12">
        <v>40</v>
      </c>
      <c r="I45" s="11" t="str">
        <f>IF(tblNational_S_H[[#This Row],[Code]]&gt;9.99,LEFT(tblNational_S_H[[#This Row],[Code]],2),LEFT(tblNational_S_H[[#This Row],[Code]],1))</f>
        <v>7</v>
      </c>
      <c r="J45" s="133" t="s">
        <v>112</v>
      </c>
      <c r="K45" s="139">
        <v>7</v>
      </c>
      <c r="L45" s="134" t="s">
        <v>151</v>
      </c>
      <c r="M45" s="123"/>
      <c r="N45" s="126"/>
      <c r="O45" s="126"/>
      <c r="P45" s="124" t="str">
        <f>IFERROR(VLOOKUP(tblNational_S_H[[#This Row],[Rating]],Guidance!$A$11:$C$15,3,0),"")</f>
        <v/>
      </c>
      <c r="Q45"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45"/>
      <c r="V45"/>
      <c r="W45"/>
    </row>
    <row r="46" spans="1:23" ht="83.5" customHeight="1" x14ac:dyDescent="0.2">
      <c r="A46" s="12" t="str">
        <f t="shared" si="5"/>
        <v>fill in name of country/state in guidance sheet</v>
      </c>
      <c r="B46" s="12">
        <f t="shared" si="6"/>
        <v>2026</v>
      </c>
      <c r="C46" s="12" t="s">
        <v>92</v>
      </c>
      <c r="D46" s="2" t="str">
        <f t="shared" si="7"/>
        <v>Sanitation &amp; hygiene</v>
      </c>
      <c r="E46" s="72"/>
      <c r="F46" s="72" t="s">
        <v>100</v>
      </c>
      <c r="G46" s="72"/>
      <c r="H46" s="12">
        <v>41</v>
      </c>
      <c r="I46" s="11" t="str">
        <f>IF(tblNational_S_H[[#This Row],[Code]]&gt;9.99,LEFT(tblNational_S_H[[#This Row],[Code]],2),LEFT(tblNational_S_H[[#This Row],[Code]],1))</f>
        <v>7</v>
      </c>
      <c r="J46" s="74" t="s">
        <v>112</v>
      </c>
      <c r="K46" s="78">
        <v>7.1</v>
      </c>
      <c r="L46" s="80" t="s">
        <v>211</v>
      </c>
      <c r="M46" s="95"/>
      <c r="N46" s="73"/>
      <c r="O46" s="73"/>
      <c r="P46" s="129" t="str">
        <f>IFERROR(VLOOKUP(tblNational_S_H[[#This Row],[Rating]],Guidance!$A$11:$C$15,3,0),"")</f>
        <v/>
      </c>
      <c r="Q46"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46"/>
      <c r="V46"/>
      <c r="W46"/>
    </row>
    <row r="47" spans="1:23" ht="83.5" customHeight="1" x14ac:dyDescent="0.2">
      <c r="A47" s="12" t="str">
        <f t="shared" si="5"/>
        <v>fill in name of country/state in guidance sheet</v>
      </c>
      <c r="B47" s="12">
        <f t="shared" si="6"/>
        <v>2026</v>
      </c>
      <c r="C47" s="12" t="s">
        <v>92</v>
      </c>
      <c r="D47" s="2" t="str">
        <f t="shared" si="7"/>
        <v>Sanitation &amp; hygiene</v>
      </c>
      <c r="E47" s="72"/>
      <c r="F47" s="72"/>
      <c r="G47" s="72"/>
      <c r="H47" s="12">
        <v>42</v>
      </c>
      <c r="I47" s="11" t="str">
        <f>IF(tblNational_S_H[[#This Row],[Code]]&gt;9.99,LEFT(tblNational_S_H[[#This Row],[Code]],2),LEFT(tblNational_S_H[[#This Row],[Code]],1))</f>
        <v>7</v>
      </c>
      <c r="J47" s="74" t="s">
        <v>112</v>
      </c>
      <c r="K47" s="76">
        <v>7.2</v>
      </c>
      <c r="L47" s="80" t="s">
        <v>153</v>
      </c>
      <c r="M47" s="95"/>
      <c r="N47" s="73"/>
      <c r="O47" s="73"/>
      <c r="P47" s="119" t="str">
        <f>IFERROR(VLOOKUP(tblNational_S_H[[#This Row],[Rating]],Guidance!$A$11:$C$15,3,0),"")</f>
        <v/>
      </c>
      <c r="Q47"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47"/>
      <c r="V47"/>
      <c r="W47"/>
    </row>
    <row r="48" spans="1:23" ht="83.5" customHeight="1" x14ac:dyDescent="0.2">
      <c r="A48" s="12" t="str">
        <f t="shared" si="5"/>
        <v>fill in name of country/state in guidance sheet</v>
      </c>
      <c r="B48" s="12">
        <f t="shared" si="6"/>
        <v>2026</v>
      </c>
      <c r="C48" s="12" t="s">
        <v>92</v>
      </c>
      <c r="D48" s="2" t="str">
        <f t="shared" si="7"/>
        <v>Sanitation &amp; hygiene</v>
      </c>
      <c r="E48" s="72"/>
      <c r="F48" s="72"/>
      <c r="G48" s="72"/>
      <c r="H48" s="12">
        <v>43</v>
      </c>
      <c r="I48" s="11" t="str">
        <f>IF(tblNational_S_H[[#This Row],[Code]]&gt;9.99,LEFT(tblNational_S_H[[#This Row],[Code]],2),LEFT(tblNational_S_H[[#This Row],[Code]],1))</f>
        <v>7</v>
      </c>
      <c r="J48" s="74" t="s">
        <v>112</v>
      </c>
      <c r="K48" s="76">
        <v>7.3</v>
      </c>
      <c r="L48" s="77" t="s">
        <v>154</v>
      </c>
      <c r="M48" s="95"/>
      <c r="N48" s="111"/>
      <c r="O48" s="112"/>
      <c r="P48" s="119" t="str">
        <f>IFERROR(VLOOKUP(tblNational_S_H[[#This Row],[Rating]],Guidance!$A$11:$C$15,3,0),"")</f>
        <v/>
      </c>
      <c r="Q48"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48"/>
      <c r="V48"/>
      <c r="W48"/>
    </row>
    <row r="49" spans="1:23" ht="83.5" customHeight="1" x14ac:dyDescent="0.2">
      <c r="A49" s="12" t="str">
        <f t="shared" si="5"/>
        <v>fill in name of country/state in guidance sheet</v>
      </c>
      <c r="B49" s="12">
        <f t="shared" si="6"/>
        <v>2026</v>
      </c>
      <c r="C49" s="12" t="s">
        <v>92</v>
      </c>
      <c r="D49" s="2" t="str">
        <f t="shared" si="7"/>
        <v>Sanitation &amp; hygiene</v>
      </c>
      <c r="E49" s="72"/>
      <c r="F49" s="72"/>
      <c r="G49" s="72" t="s">
        <v>100</v>
      </c>
      <c r="H49" s="12">
        <v>44</v>
      </c>
      <c r="I49" s="11" t="str">
        <f>IF(tblNational_S_H[[#This Row],[Code]]&gt;9.99,LEFT(tblNational_S_H[[#This Row],[Code]],2),LEFT(tblNational_S_H[[#This Row],[Code]],1))</f>
        <v>7</v>
      </c>
      <c r="J49" s="74" t="s">
        <v>112</v>
      </c>
      <c r="K49" s="76">
        <v>7.4</v>
      </c>
      <c r="L49" s="81" t="s">
        <v>212</v>
      </c>
      <c r="M49" s="95"/>
      <c r="N49" s="73"/>
      <c r="O49" s="73"/>
      <c r="P49" s="119" t="str">
        <f>IFERROR(VLOOKUP(tblNational_S_H[[#This Row],[Rating]],Guidance!$A$11:$C$15,3,0),"")</f>
        <v/>
      </c>
      <c r="Q49"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49"/>
      <c r="V49"/>
      <c r="W49"/>
    </row>
    <row r="50" spans="1:23" ht="83.5" customHeight="1" x14ac:dyDescent="0.2">
      <c r="A50" s="12" t="str">
        <f t="shared" si="5"/>
        <v>fill in name of country/state in guidance sheet</v>
      </c>
      <c r="B50" s="12">
        <f t="shared" si="6"/>
        <v>2026</v>
      </c>
      <c r="C50" s="12" t="s">
        <v>92</v>
      </c>
      <c r="D50" s="2" t="str">
        <f t="shared" si="7"/>
        <v>Sanitation &amp; hygiene</v>
      </c>
      <c r="E50" s="72" t="s">
        <v>100</v>
      </c>
      <c r="F50" s="72"/>
      <c r="G50" s="72"/>
      <c r="H50" s="12">
        <v>45</v>
      </c>
      <c r="I50" s="11" t="str">
        <f>IF(tblNational_S_H[[#This Row],[Code]]&gt;9.99,LEFT(tblNational_S_H[[#This Row],[Code]],2),LEFT(tblNational_S_H[[#This Row],[Code]],1))</f>
        <v>7</v>
      </c>
      <c r="J50" s="74" t="s">
        <v>112</v>
      </c>
      <c r="K50" s="76">
        <v>7.5</v>
      </c>
      <c r="L50" s="110" t="s">
        <v>156</v>
      </c>
      <c r="M50" s="95"/>
      <c r="N50" s="73"/>
      <c r="O50" s="73"/>
      <c r="P50" s="121" t="str">
        <f>IFERROR(VLOOKUP(tblNational_S_H[[#This Row],[Rating]],Guidance!$A$11:$C$15,3,0),"")</f>
        <v/>
      </c>
      <c r="Q50"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50"/>
      <c r="V50"/>
      <c r="W50"/>
    </row>
    <row r="51" spans="1:23" ht="83.5" customHeight="1" x14ac:dyDescent="0.2">
      <c r="A51" s="12" t="str">
        <f t="shared" si="5"/>
        <v>fill in name of country/state in guidance sheet</v>
      </c>
      <c r="B51" s="12">
        <f t="shared" si="6"/>
        <v>2026</v>
      </c>
      <c r="C51" s="12" t="s">
        <v>86</v>
      </c>
      <c r="D51" s="2" t="str">
        <f t="shared" si="7"/>
        <v>Sanitation &amp; hygiene</v>
      </c>
      <c r="E51" s="72"/>
      <c r="F51" s="72"/>
      <c r="G51" s="72"/>
      <c r="H51" s="12">
        <v>46</v>
      </c>
      <c r="I51" s="11" t="str">
        <f>IF(tblNational_S_H[[#This Row],[Code]]&gt;9.99,LEFT(tblNational_S_H[[#This Row],[Code]],2),LEFT(tblNational_S_H[[#This Row],[Code]],1))</f>
        <v>8</v>
      </c>
      <c r="J51" s="133" t="s">
        <v>157</v>
      </c>
      <c r="K51" s="139">
        <v>8</v>
      </c>
      <c r="L51" s="134" t="s">
        <v>158</v>
      </c>
      <c r="M51" s="123"/>
      <c r="N51" s="126"/>
      <c r="O51" s="126"/>
      <c r="P51" s="124" t="str">
        <f>IFERROR(VLOOKUP(tblNational_S_H[[#This Row],[Rating]],Guidance!$A$11:$C$15,3,0),"")</f>
        <v/>
      </c>
      <c r="Q51"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51"/>
      <c r="V51"/>
      <c r="W51"/>
    </row>
    <row r="52" spans="1:23" ht="83.5" customHeight="1" x14ac:dyDescent="0.2">
      <c r="A52" s="12" t="str">
        <f t="shared" si="5"/>
        <v>fill in name of country/state in guidance sheet</v>
      </c>
      <c r="B52" s="12">
        <f t="shared" si="6"/>
        <v>2026</v>
      </c>
      <c r="C52" s="12" t="s">
        <v>92</v>
      </c>
      <c r="D52" s="2" t="str">
        <f t="shared" si="7"/>
        <v>Sanitation &amp; hygiene</v>
      </c>
      <c r="E52" s="72"/>
      <c r="F52" s="72"/>
      <c r="G52" s="72"/>
      <c r="H52" s="12">
        <v>47</v>
      </c>
      <c r="I52" s="11" t="str">
        <f>IF(tblNational_S_H[[#This Row],[Code]]&gt;9.99,LEFT(tblNational_S_H[[#This Row],[Code]],2),LEFT(tblNational_S_H[[#This Row],[Code]],1))</f>
        <v>8</v>
      </c>
      <c r="J52" s="74" t="s">
        <v>157</v>
      </c>
      <c r="K52" s="76">
        <v>8.1</v>
      </c>
      <c r="L52" s="80" t="s">
        <v>159</v>
      </c>
      <c r="M52" s="95"/>
      <c r="N52" s="73"/>
      <c r="O52" s="73"/>
      <c r="P52" s="129" t="str">
        <f>IFERROR(VLOOKUP(tblNational_S_H[[#This Row],[Rating]],Guidance!$A$11:$C$15,3,0),"")</f>
        <v/>
      </c>
      <c r="Q52" s="117"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52"/>
      <c r="V52"/>
      <c r="W52"/>
    </row>
    <row r="53" spans="1:23" ht="83.5" customHeight="1" x14ac:dyDescent="0.2">
      <c r="A53" s="12" t="str">
        <f t="shared" si="5"/>
        <v>fill in name of country/state in guidance sheet</v>
      </c>
      <c r="B53" s="12">
        <f t="shared" si="6"/>
        <v>2026</v>
      </c>
      <c r="C53" s="12" t="s">
        <v>92</v>
      </c>
      <c r="D53" s="2" t="str">
        <f t="shared" si="7"/>
        <v>Sanitation &amp; hygiene</v>
      </c>
      <c r="E53" s="72"/>
      <c r="F53" s="72"/>
      <c r="G53" s="72"/>
      <c r="H53" s="12">
        <v>48</v>
      </c>
      <c r="I53" s="11" t="str">
        <f>IF(tblNational_S_H[[#This Row],[Code]]&gt;9.99,LEFT(tblNational_S_H[[#This Row],[Code]],2),LEFT(tblNational_S_H[[#This Row],[Code]],1))</f>
        <v>8</v>
      </c>
      <c r="J53" s="74" t="s">
        <v>157</v>
      </c>
      <c r="K53" s="76">
        <v>8.1999999999999993</v>
      </c>
      <c r="L53" s="80" t="s">
        <v>160</v>
      </c>
      <c r="M53" s="95"/>
      <c r="N53" s="73"/>
      <c r="O53" s="73"/>
      <c r="P53" s="119" t="str">
        <f>IFERROR(VLOOKUP(tblNational_S_H[[#This Row],[Rating]],Guidance!$A$11:$C$15,3,0),"")</f>
        <v/>
      </c>
      <c r="Q53"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53"/>
      <c r="V53"/>
      <c r="W53"/>
    </row>
    <row r="54" spans="1:23" ht="83.5" customHeight="1" x14ac:dyDescent="0.2">
      <c r="A54" s="12" t="str">
        <f t="shared" si="5"/>
        <v>fill in name of country/state in guidance sheet</v>
      </c>
      <c r="B54" s="12">
        <f t="shared" si="6"/>
        <v>2026</v>
      </c>
      <c r="C54" s="12" t="s">
        <v>92</v>
      </c>
      <c r="D54" s="2" t="str">
        <f t="shared" si="7"/>
        <v>Sanitation &amp; hygiene</v>
      </c>
      <c r="E54" s="72"/>
      <c r="F54" s="72"/>
      <c r="G54" s="72"/>
      <c r="H54" s="12">
        <v>49</v>
      </c>
      <c r="I54" s="11" t="str">
        <f>IF(tblNational_S_H[[#This Row],[Code]]&gt;9.99,LEFT(tblNational_S_H[[#This Row],[Code]],2),LEFT(tblNational_S_H[[#This Row],[Code]],1))</f>
        <v>8</v>
      </c>
      <c r="J54" s="74" t="s">
        <v>157</v>
      </c>
      <c r="K54" s="76">
        <v>8.3000000000000007</v>
      </c>
      <c r="L54" s="77" t="s">
        <v>161</v>
      </c>
      <c r="M54" s="95"/>
      <c r="N54" s="111"/>
      <c r="O54" s="112"/>
      <c r="P54" s="119" t="str">
        <f>IFERROR(VLOOKUP(tblNational_S_H[[#This Row],[Rating]],Guidance!$A$11:$C$15,3,0),"")</f>
        <v/>
      </c>
      <c r="Q54"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54"/>
      <c r="V54"/>
      <c r="W54"/>
    </row>
    <row r="55" spans="1:23" ht="83.5" customHeight="1" x14ac:dyDescent="0.2">
      <c r="A55" s="12" t="str">
        <f t="shared" si="5"/>
        <v>fill in name of country/state in guidance sheet</v>
      </c>
      <c r="B55" s="12">
        <f t="shared" si="6"/>
        <v>2026</v>
      </c>
      <c r="C55" s="12" t="s">
        <v>92</v>
      </c>
      <c r="D55" s="2" t="str">
        <f t="shared" si="7"/>
        <v>Sanitation &amp; hygiene</v>
      </c>
      <c r="E55" s="72"/>
      <c r="F55" s="72"/>
      <c r="G55" s="72"/>
      <c r="H55" s="12">
        <v>50</v>
      </c>
      <c r="I55" s="11" t="str">
        <f>IF(tblNational_S_H[[#This Row],[Code]]&gt;9.99,LEFT(tblNational_S_H[[#This Row],[Code]],2),LEFT(tblNational_S_H[[#This Row],[Code]],1))</f>
        <v>8</v>
      </c>
      <c r="J55" s="74" t="s">
        <v>157</v>
      </c>
      <c r="K55" s="76">
        <v>8.4</v>
      </c>
      <c r="L55" s="80" t="s">
        <v>213</v>
      </c>
      <c r="M55" s="95"/>
      <c r="N55" s="73"/>
      <c r="O55" s="73"/>
      <c r="P55" s="119" t="str">
        <f>IFERROR(VLOOKUP(tblNational_S_H[[#This Row],[Rating]],Guidance!$A$11:$C$15,3,0),"")</f>
        <v/>
      </c>
      <c r="Q55"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55"/>
      <c r="V55"/>
      <c r="W55"/>
    </row>
    <row r="56" spans="1:23" ht="83.5" customHeight="1" x14ac:dyDescent="0.2">
      <c r="A56" s="12" t="str">
        <f t="shared" si="5"/>
        <v>fill in name of country/state in guidance sheet</v>
      </c>
      <c r="B56" s="12">
        <f t="shared" si="6"/>
        <v>2026</v>
      </c>
      <c r="C56" s="12" t="s">
        <v>92</v>
      </c>
      <c r="D56" s="2" t="str">
        <f t="shared" si="7"/>
        <v>Sanitation &amp; hygiene</v>
      </c>
      <c r="E56" s="72"/>
      <c r="F56" s="72"/>
      <c r="G56" s="72" t="s">
        <v>100</v>
      </c>
      <c r="H56" s="12">
        <v>51</v>
      </c>
      <c r="I56" s="11" t="str">
        <f>IF(tblNational_S_H[[#This Row],[Code]]&gt;9.99,LEFT(tblNational_S_H[[#This Row],[Code]],2),LEFT(tblNational_S_H[[#This Row],[Code]],1))</f>
        <v>8</v>
      </c>
      <c r="J56" s="74" t="s">
        <v>157</v>
      </c>
      <c r="K56" s="76">
        <v>8.5</v>
      </c>
      <c r="L56" s="80" t="s">
        <v>163</v>
      </c>
      <c r="M56" s="95"/>
      <c r="N56" s="73"/>
      <c r="O56" s="73"/>
      <c r="P56" s="119" t="str">
        <f>IFERROR(VLOOKUP(tblNational_S_H[[#This Row],[Rating]],Guidance!$A$11:$C$15,3,0),"")</f>
        <v/>
      </c>
      <c r="Q56"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56"/>
      <c r="V56"/>
      <c r="W56"/>
    </row>
    <row r="57" spans="1:23" ht="83.5" customHeight="1" x14ac:dyDescent="0.2">
      <c r="A57" s="12" t="str">
        <f t="shared" si="5"/>
        <v>fill in name of country/state in guidance sheet</v>
      </c>
      <c r="B57" s="12">
        <f t="shared" si="6"/>
        <v>2026</v>
      </c>
      <c r="C57" s="12" t="s">
        <v>92</v>
      </c>
      <c r="D57" s="2" t="str">
        <f t="shared" si="7"/>
        <v>Sanitation &amp; hygiene</v>
      </c>
      <c r="E57" s="72" t="s">
        <v>100</v>
      </c>
      <c r="F57" s="72"/>
      <c r="G57" s="72"/>
      <c r="H57" s="12">
        <v>52</v>
      </c>
      <c r="I57" s="11" t="str">
        <f>IF(tblNational_S_H[[#This Row],[Code]]&gt;9.99,LEFT(tblNational_S_H[[#This Row],[Code]],2),LEFT(tblNational_S_H[[#This Row],[Code]],1))</f>
        <v>8</v>
      </c>
      <c r="J57" s="74" t="s">
        <v>157</v>
      </c>
      <c r="K57" s="76">
        <v>8.6</v>
      </c>
      <c r="L57" s="80" t="s">
        <v>164</v>
      </c>
      <c r="M57" s="95"/>
      <c r="N57" s="73"/>
      <c r="O57" s="73"/>
      <c r="P57" s="121" t="str">
        <f>IFERROR(VLOOKUP(tblNational_S_H[[#This Row],[Rating]],Guidance!$A$11:$C$15,3,0),"")</f>
        <v/>
      </c>
      <c r="Q57" s="116"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57"/>
      <c r="V57"/>
      <c r="W57"/>
    </row>
    <row r="58" spans="1:23" ht="83.5" customHeight="1" x14ac:dyDescent="0.2">
      <c r="A58" s="12" t="str">
        <f t="shared" si="5"/>
        <v>fill in name of country/state in guidance sheet</v>
      </c>
      <c r="B58" s="12">
        <f t="shared" si="6"/>
        <v>2026</v>
      </c>
      <c r="C58" s="12" t="s">
        <v>86</v>
      </c>
      <c r="D58" s="2" t="str">
        <f t="shared" si="7"/>
        <v>Sanitation &amp; hygiene</v>
      </c>
      <c r="E58" s="72"/>
      <c r="F58" s="72"/>
      <c r="G58" s="72"/>
      <c r="H58" s="12">
        <v>53</v>
      </c>
      <c r="I58" s="11" t="str">
        <f>IF(tblNational_S_H[[#This Row],[Code]]&gt;9.99,LEFT(tblNational_S_H[[#This Row],[Code]],2),LEFT(tblNational_S_H[[#This Row],[Code]],1))</f>
        <v>9</v>
      </c>
      <c r="J58" s="133" t="s">
        <v>165</v>
      </c>
      <c r="K58" s="139">
        <v>9</v>
      </c>
      <c r="L58" s="134" t="s">
        <v>166</v>
      </c>
      <c r="M58" s="123"/>
      <c r="N58" s="126"/>
      <c r="O58" s="126"/>
      <c r="P58" s="124" t="str">
        <f>IFERROR(VLOOKUP(tblNational_S_H[[#This Row],[Rating]],Guidance!$A$11:$C$15,3,0),"")</f>
        <v/>
      </c>
      <c r="Q58"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58"/>
      <c r="V58"/>
      <c r="W58"/>
    </row>
    <row r="59" spans="1:23" ht="83.5" customHeight="1" x14ac:dyDescent="0.2">
      <c r="A59" s="12" t="str">
        <f t="shared" si="5"/>
        <v>fill in name of country/state in guidance sheet</v>
      </c>
      <c r="B59" s="12">
        <f t="shared" si="6"/>
        <v>2026</v>
      </c>
      <c r="C59" s="12" t="s">
        <v>92</v>
      </c>
      <c r="D59" s="2" t="str">
        <f t="shared" si="7"/>
        <v>Sanitation &amp; hygiene</v>
      </c>
      <c r="E59" s="72"/>
      <c r="F59" s="72" t="s">
        <v>100</v>
      </c>
      <c r="G59" s="72"/>
      <c r="H59" s="12">
        <v>54</v>
      </c>
      <c r="I59" s="11" t="str">
        <f>IF(tblNational_S_H[[#This Row],[Code]]&gt;9.99,LEFT(tblNational_S_H[[#This Row],[Code]],2),LEFT(tblNational_S_H[[#This Row],[Code]],1))</f>
        <v>9</v>
      </c>
      <c r="J59" s="74" t="s">
        <v>165</v>
      </c>
      <c r="K59" s="76">
        <v>9.1</v>
      </c>
      <c r="L59" s="80" t="s">
        <v>214</v>
      </c>
      <c r="M59" s="95"/>
      <c r="N59" s="73"/>
      <c r="O59" s="73"/>
      <c r="P59" s="129" t="str">
        <f>IFERROR(VLOOKUP(tblNational_S_H[[#This Row],[Rating]],Guidance!$A$11:$C$15,3,0),"")</f>
        <v/>
      </c>
      <c r="Q59" s="117"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59"/>
      <c r="V59"/>
      <c r="W59"/>
    </row>
    <row r="60" spans="1:23" ht="83.5" customHeight="1" x14ac:dyDescent="0.2">
      <c r="A60" s="12" t="str">
        <f t="shared" si="5"/>
        <v>fill in name of country/state in guidance sheet</v>
      </c>
      <c r="B60" s="12">
        <f t="shared" si="6"/>
        <v>2026</v>
      </c>
      <c r="C60" s="12" t="s">
        <v>92</v>
      </c>
      <c r="D60" s="2" t="str">
        <f t="shared" si="7"/>
        <v>Sanitation &amp; hygiene</v>
      </c>
      <c r="E60" s="72" t="s">
        <v>100</v>
      </c>
      <c r="F60" s="72" t="s">
        <v>100</v>
      </c>
      <c r="G60" s="72"/>
      <c r="H60" s="12">
        <v>55</v>
      </c>
      <c r="I60" s="11" t="str">
        <f>IF(tblNational_S_H[[#This Row],[Code]]&gt;9.99,LEFT(tblNational_S_H[[#This Row],[Code]],2),LEFT(tblNational_S_H[[#This Row],[Code]],1))</f>
        <v>9</v>
      </c>
      <c r="J60" s="74" t="s">
        <v>165</v>
      </c>
      <c r="K60" s="76">
        <v>9.1999999999999993</v>
      </c>
      <c r="L60" s="81" t="s">
        <v>168</v>
      </c>
      <c r="M60" s="95"/>
      <c r="N60" s="73"/>
      <c r="O60" s="73"/>
      <c r="P60" s="119" t="str">
        <f>IFERROR(VLOOKUP(tblNational_S_H[[#This Row],[Rating]],Guidance!$A$11:$C$15,3,0),"")</f>
        <v/>
      </c>
      <c r="Q60"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60"/>
      <c r="V60"/>
      <c r="W60"/>
    </row>
    <row r="61" spans="1:23" ht="83.5" customHeight="1" x14ac:dyDescent="0.2">
      <c r="A61" s="12" t="str">
        <f t="shared" si="5"/>
        <v>fill in name of country/state in guidance sheet</v>
      </c>
      <c r="B61" s="12">
        <f t="shared" si="6"/>
        <v>2026</v>
      </c>
      <c r="C61" s="12" t="s">
        <v>92</v>
      </c>
      <c r="D61" s="2" t="str">
        <f t="shared" si="7"/>
        <v>Sanitation &amp; hygiene</v>
      </c>
      <c r="E61" s="72"/>
      <c r="F61" s="72" t="s">
        <v>100</v>
      </c>
      <c r="G61" s="72"/>
      <c r="H61" s="12">
        <v>56</v>
      </c>
      <c r="I61" s="11" t="str">
        <f>IF(tblNational_S_H[[#This Row],[Code]]&gt;9.99,LEFT(tblNational_S_H[[#This Row],[Code]],2),LEFT(tblNational_S_H[[#This Row],[Code]],1))</f>
        <v>9</v>
      </c>
      <c r="J61" s="74" t="s">
        <v>165</v>
      </c>
      <c r="K61" s="109">
        <v>9.3000000000000007</v>
      </c>
      <c r="L61" s="77" t="s">
        <v>215</v>
      </c>
      <c r="M61" s="95"/>
      <c r="N61" s="111"/>
      <c r="O61" s="112"/>
      <c r="P61" s="119" t="str">
        <f>IFERROR(VLOOKUP(tblNational_S_H[[#This Row],[Rating]],Guidance!$A$11:$C$15,3,0),"")</f>
        <v/>
      </c>
      <c r="Q61"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61"/>
      <c r="V61"/>
      <c r="W61"/>
    </row>
    <row r="62" spans="1:23" ht="83.5" customHeight="1" x14ac:dyDescent="0.2">
      <c r="A62" s="12" t="str">
        <f t="shared" si="5"/>
        <v>fill in name of country/state in guidance sheet</v>
      </c>
      <c r="B62" s="12">
        <f t="shared" si="6"/>
        <v>2026</v>
      </c>
      <c r="C62" s="12" t="s">
        <v>92</v>
      </c>
      <c r="D62" s="2" t="str">
        <f t="shared" si="7"/>
        <v>Sanitation &amp; hygiene</v>
      </c>
      <c r="E62" s="72"/>
      <c r="F62" s="72"/>
      <c r="G62" s="72" t="s">
        <v>100</v>
      </c>
      <c r="H62" s="12">
        <v>57</v>
      </c>
      <c r="I62" s="11" t="str">
        <f>IF(tblNational_S_H[[#This Row],[Code]]&gt;9.99,LEFT(tblNational_S_H[[#This Row],[Code]],2),LEFT(tblNational_S_H[[#This Row],[Code]],1))</f>
        <v>9</v>
      </c>
      <c r="J62" s="74" t="s">
        <v>165</v>
      </c>
      <c r="K62" s="76">
        <v>9.4</v>
      </c>
      <c r="L62" s="81" t="s">
        <v>216</v>
      </c>
      <c r="M62" s="95"/>
      <c r="N62" s="73"/>
      <c r="O62" s="73"/>
      <c r="P62" s="119" t="str">
        <f>IFERROR(VLOOKUP(tblNational_S_H[[#This Row],[Rating]],Guidance!$A$11:$C$15,3,0),"")</f>
        <v/>
      </c>
      <c r="Q62"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62"/>
      <c r="V62"/>
      <c r="W62"/>
    </row>
    <row r="63" spans="1:23" ht="83.5" customHeight="1" x14ac:dyDescent="0.2">
      <c r="A63" s="12" t="str">
        <f t="shared" si="5"/>
        <v>fill in name of country/state in guidance sheet</v>
      </c>
      <c r="B63" s="12">
        <f t="shared" si="6"/>
        <v>2026</v>
      </c>
      <c r="C63" s="12" t="s">
        <v>92</v>
      </c>
      <c r="D63" s="2" t="str">
        <f t="shared" si="7"/>
        <v>Sanitation &amp; hygiene</v>
      </c>
      <c r="E63" s="72" t="s">
        <v>100</v>
      </c>
      <c r="F63" s="72"/>
      <c r="G63" s="72"/>
      <c r="H63" s="12">
        <v>58</v>
      </c>
      <c r="I63" s="11" t="str">
        <f>IF(tblNational_S_H[[#This Row],[Code]]&gt;9.99,LEFT(tblNational_S_H[[#This Row],[Code]],2),LEFT(tblNational_S_H[[#This Row],[Code]],1))</f>
        <v>9</v>
      </c>
      <c r="J63" s="74" t="s">
        <v>165</v>
      </c>
      <c r="K63" s="76">
        <v>9.5</v>
      </c>
      <c r="L63" s="81" t="s">
        <v>217</v>
      </c>
      <c r="M63" s="95"/>
      <c r="N63" s="73"/>
      <c r="O63" s="73"/>
      <c r="P63" s="121" t="str">
        <f>IFERROR(VLOOKUP(tblNational_S_H[[#This Row],[Rating]],Guidance!$A$11:$C$15,3,0),"")</f>
        <v/>
      </c>
      <c r="Q63" s="116"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63"/>
      <c r="V63"/>
      <c r="W63"/>
    </row>
    <row r="64" spans="1:23" ht="83.5" customHeight="1" x14ac:dyDescent="0.2">
      <c r="A64" s="12" t="str">
        <f t="shared" si="5"/>
        <v>fill in name of country/state in guidance sheet</v>
      </c>
      <c r="B64" s="12">
        <f t="shared" si="6"/>
        <v>2026</v>
      </c>
      <c r="C64" s="12" t="s">
        <v>86</v>
      </c>
      <c r="D64" s="2" t="str">
        <f t="shared" si="7"/>
        <v>Sanitation &amp; hygiene</v>
      </c>
      <c r="E64" s="72"/>
      <c r="F64" s="72"/>
      <c r="G64" s="72"/>
      <c r="H64" s="12">
        <v>59</v>
      </c>
      <c r="I64" s="11" t="str">
        <f>IF(tblNational_S_H[[#This Row],[Code]]&gt;9.99,LEFT(tblNational_S_H[[#This Row],[Code]],2),LEFT(tblNational_S_H[[#This Row],[Code]],1))</f>
        <v>10</v>
      </c>
      <c r="J64" s="133" t="s">
        <v>172</v>
      </c>
      <c r="K64" s="139">
        <v>10</v>
      </c>
      <c r="L64" s="136" t="s">
        <v>173</v>
      </c>
      <c r="M64" s="123"/>
      <c r="N64" s="126"/>
      <c r="O64" s="126"/>
      <c r="P64" s="124" t="str">
        <f>IFERROR(VLOOKUP(tblNational_S_H[[#This Row],[Rating]],Guidance!$A$11:$C$15,3,0),"")</f>
        <v/>
      </c>
      <c r="Q64"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64"/>
      <c r="V64"/>
      <c r="W64"/>
    </row>
    <row r="65" spans="1:23" ht="83.5" customHeight="1" x14ac:dyDescent="0.2">
      <c r="A65" s="12" t="str">
        <f t="shared" si="5"/>
        <v>fill in name of country/state in guidance sheet</v>
      </c>
      <c r="B65" s="12">
        <f t="shared" si="6"/>
        <v>2026</v>
      </c>
      <c r="C65" s="12" t="s">
        <v>92</v>
      </c>
      <c r="D65" s="2" t="str">
        <f t="shared" si="7"/>
        <v>Sanitation &amp; hygiene</v>
      </c>
      <c r="E65" s="72"/>
      <c r="F65" s="72"/>
      <c r="G65" s="72"/>
      <c r="H65" s="12">
        <v>60</v>
      </c>
      <c r="I65" s="11" t="str">
        <f>IF(tblNational_S_H[[#This Row],[Code]]&gt;9.99,LEFT(tblNational_S_H[[#This Row],[Code]],2),LEFT(tblNational_S_H[[#This Row],[Code]],1))</f>
        <v>10</v>
      </c>
      <c r="J65" s="74" t="s">
        <v>172</v>
      </c>
      <c r="K65" s="76">
        <v>10.1</v>
      </c>
      <c r="L65" s="79" t="s">
        <v>218</v>
      </c>
      <c r="M65" s="95"/>
      <c r="N65" s="73"/>
      <c r="O65" s="73"/>
      <c r="P65" s="129" t="str">
        <f>IFERROR(VLOOKUP(tblNational_S_H[[#This Row],[Rating]],Guidance!$A$11:$C$15,3,0),"")</f>
        <v/>
      </c>
      <c r="Q65" s="117"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65"/>
      <c r="V65"/>
      <c r="W65"/>
    </row>
    <row r="66" spans="1:23" ht="83.5" customHeight="1" x14ac:dyDescent="0.2">
      <c r="A66" s="12" t="str">
        <f t="shared" si="5"/>
        <v>fill in name of country/state in guidance sheet</v>
      </c>
      <c r="B66" s="12">
        <f t="shared" si="6"/>
        <v>2026</v>
      </c>
      <c r="C66" s="12" t="s">
        <v>92</v>
      </c>
      <c r="D66" s="2" t="str">
        <f t="shared" si="7"/>
        <v>Sanitation &amp; hygiene</v>
      </c>
      <c r="E66" s="72"/>
      <c r="F66" s="72" t="s">
        <v>100</v>
      </c>
      <c r="G66" s="72"/>
      <c r="H66" s="12">
        <v>61</v>
      </c>
      <c r="I66" s="11" t="str">
        <f>IF(tblNational_S_H[[#This Row],[Code]]&gt;9.99,LEFT(tblNational_S_H[[#This Row],[Code]],2),LEFT(tblNational_S_H[[#This Row],[Code]],1))</f>
        <v>10</v>
      </c>
      <c r="J66" s="82" t="s">
        <v>172</v>
      </c>
      <c r="K66" s="76">
        <v>10.199999999999999</v>
      </c>
      <c r="L66" s="94" t="s">
        <v>219</v>
      </c>
      <c r="M66" s="95"/>
      <c r="N66" s="73"/>
      <c r="O66" s="73"/>
      <c r="P66" s="119" t="str">
        <f>IFERROR(VLOOKUP(tblNational_S_H[[#This Row],[Rating]],Guidance!$A$11:$C$15,3,0),"")</f>
        <v/>
      </c>
      <c r="Q66"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66"/>
      <c r="V66"/>
      <c r="W66"/>
    </row>
    <row r="67" spans="1:23" ht="83.5" customHeight="1" x14ac:dyDescent="0.2">
      <c r="A67" s="12" t="str">
        <f t="shared" si="5"/>
        <v>fill in name of country/state in guidance sheet</v>
      </c>
      <c r="B67" s="12">
        <f t="shared" si="6"/>
        <v>2026</v>
      </c>
      <c r="C67" s="12" t="s">
        <v>92</v>
      </c>
      <c r="D67" s="2" t="str">
        <f t="shared" si="7"/>
        <v>Sanitation &amp; hygiene</v>
      </c>
      <c r="E67" s="72"/>
      <c r="F67" s="72"/>
      <c r="G67" s="72"/>
      <c r="H67" s="12">
        <v>62</v>
      </c>
      <c r="I67" s="11" t="str">
        <f>IF(tblNational_S_H[[#This Row],[Code]]&gt;9.99,LEFT(tblNational_S_H[[#This Row],[Code]],2),LEFT(tblNational_S_H[[#This Row],[Code]],1))</f>
        <v>10</v>
      </c>
      <c r="J67" s="82" t="s">
        <v>172</v>
      </c>
      <c r="K67" s="76">
        <v>10.3</v>
      </c>
      <c r="L67" s="77" t="s">
        <v>220</v>
      </c>
      <c r="M67" s="95"/>
      <c r="N67" s="111"/>
      <c r="O67" s="112"/>
      <c r="P67" s="119" t="str">
        <f>IFERROR(VLOOKUP(tblNational_S_H[[#This Row],[Rating]],Guidance!$A$11:$C$15,3,0),"")</f>
        <v/>
      </c>
      <c r="Q67"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67"/>
      <c r="V67"/>
      <c r="W67"/>
    </row>
    <row r="68" spans="1:23" ht="83.5" customHeight="1" x14ac:dyDescent="0.2">
      <c r="A68" s="12" t="str">
        <f t="shared" si="5"/>
        <v>fill in name of country/state in guidance sheet</v>
      </c>
      <c r="B68" s="12">
        <f t="shared" si="6"/>
        <v>2026</v>
      </c>
      <c r="C68" s="12" t="s">
        <v>92</v>
      </c>
      <c r="D68" s="2" t="str">
        <f t="shared" si="7"/>
        <v>Sanitation &amp; hygiene</v>
      </c>
      <c r="E68" s="72"/>
      <c r="F68" s="72"/>
      <c r="G68" s="72" t="s">
        <v>100</v>
      </c>
      <c r="H68" s="12">
        <v>63</v>
      </c>
      <c r="I68" s="11" t="str">
        <f>IF(tblNational_S_H[[#This Row],[Code]]&gt;9.99,LEFT(tblNational_S_H[[#This Row],[Code]],2),LEFT(tblNational_S_H[[#This Row],[Code]],1))</f>
        <v>10</v>
      </c>
      <c r="J68" s="82" t="s">
        <v>172</v>
      </c>
      <c r="K68" s="76">
        <v>10.4</v>
      </c>
      <c r="L68" s="80" t="s">
        <v>177</v>
      </c>
      <c r="M68" s="95"/>
      <c r="N68" s="73"/>
      <c r="O68" s="73"/>
      <c r="P68" s="119" t="str">
        <f>IFERROR(VLOOKUP(tblNational_S_H[[#This Row],[Rating]],Guidance!$A$11:$C$15,3,0),"")</f>
        <v/>
      </c>
      <c r="Q68" s="11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68"/>
      <c r="V68"/>
      <c r="W68"/>
    </row>
    <row r="69" spans="1:23" ht="83.5" customHeight="1" x14ac:dyDescent="0.2">
      <c r="A69" s="12" t="str">
        <f t="shared" si="5"/>
        <v>fill in name of country/state in guidance sheet</v>
      </c>
      <c r="B69" s="12">
        <f t="shared" si="6"/>
        <v>2026</v>
      </c>
      <c r="C69" s="12" t="s">
        <v>92</v>
      </c>
      <c r="D69" s="2" t="str">
        <f t="shared" si="7"/>
        <v>Sanitation &amp; hygiene</v>
      </c>
      <c r="E69" s="72" t="s">
        <v>100</v>
      </c>
      <c r="F69" s="72"/>
      <c r="G69" s="72"/>
      <c r="H69" s="12">
        <v>64</v>
      </c>
      <c r="I69" s="11" t="str">
        <f>IF(tblNational_S_H[[#This Row],[Code]]&gt;9.99,LEFT(tblNational_S_H[[#This Row],[Code]],2),LEFT(tblNational_S_H[[#This Row],[Code]],1))</f>
        <v>10</v>
      </c>
      <c r="J69" s="82" t="s">
        <v>172</v>
      </c>
      <c r="K69" s="76">
        <v>10.5</v>
      </c>
      <c r="L69" s="92" t="s">
        <v>221</v>
      </c>
      <c r="M69" s="95"/>
      <c r="N69" s="73"/>
      <c r="O69" s="73"/>
      <c r="P69" s="121" t="str">
        <f>IFERROR(VLOOKUP(tblNational_S_H[[#This Row],[Rating]],Guidance!$A$11:$C$15,3,0),"")</f>
        <v/>
      </c>
      <c r="Q69" s="116"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69"/>
      <c r="V69"/>
      <c r="W69"/>
    </row>
    <row r="70" spans="1:23" ht="83.5" customHeight="1" x14ac:dyDescent="0.2">
      <c r="A70" s="12" t="str">
        <f t="shared" si="5"/>
        <v>fill in name of country/state in guidance sheet</v>
      </c>
      <c r="B70" s="12">
        <f t="shared" si="6"/>
        <v>2026</v>
      </c>
      <c r="C70" s="12" t="s">
        <v>86</v>
      </c>
      <c r="D70" s="2" t="str">
        <f t="shared" si="7"/>
        <v>Sanitation &amp; hygiene</v>
      </c>
      <c r="E70" s="12"/>
      <c r="F70" s="12"/>
      <c r="G70" s="12"/>
      <c r="H70" s="12">
        <v>101</v>
      </c>
      <c r="I70" s="11" t="str">
        <f>IF(tblNational_S_H[[#This Row],[Code]]&gt;9.99,LEFT(tblNational_S_H[[#This Row],[Code]],2),LEFT(tblNational_S_H[[#This Row],[Code]],1))</f>
        <v>In</v>
      </c>
      <c r="J70" s="134" t="s">
        <v>179</v>
      </c>
      <c r="K70" s="139" t="s">
        <v>90</v>
      </c>
      <c r="L70" s="134" t="s">
        <v>180</v>
      </c>
      <c r="M70" s="123"/>
      <c r="N70" s="126"/>
      <c r="O70" s="126"/>
      <c r="P70" s="124" t="str">
        <f>IFERROR(VLOOKUP(tblNational_S_H[[#This Row],[Rating]],Guidance!$A$11:$C$15,3,0),"")</f>
        <v/>
      </c>
      <c r="Q70"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70"/>
      <c r="V70"/>
      <c r="W70"/>
    </row>
    <row r="71" spans="1:23" ht="83.5" customHeight="1" x14ac:dyDescent="0.2">
      <c r="A71" s="12" t="str">
        <f t="shared" si="5"/>
        <v>fill in name of country/state in guidance sheet</v>
      </c>
      <c r="B71" s="12">
        <f t="shared" si="6"/>
        <v>2026</v>
      </c>
      <c r="C71" s="12" t="s">
        <v>86</v>
      </c>
      <c r="D71" s="2" t="str">
        <f t="shared" si="7"/>
        <v>Sanitation &amp; hygiene</v>
      </c>
      <c r="E71" s="12"/>
      <c r="F71" s="12"/>
      <c r="G71" s="12"/>
      <c r="H71" s="12">
        <v>102</v>
      </c>
      <c r="I71" s="11" t="str">
        <f>IF(tblNational_S_H[[#This Row],[Code]]&gt;9.99,LEFT(tblNational_S_H[[#This Row],[Code]],2),LEFT(tblNational_S_H[[#This Row],[Code]],1))</f>
        <v>In</v>
      </c>
      <c r="J71" s="134" t="s">
        <v>181</v>
      </c>
      <c r="K71" s="139" t="s">
        <v>94</v>
      </c>
      <c r="L71" s="137" t="s">
        <v>182</v>
      </c>
      <c r="M71" s="123"/>
      <c r="N71" s="126"/>
      <c r="O71" s="126"/>
      <c r="P71" s="124" t="str">
        <f>IFERROR(VLOOKUP(tblNational_S_H[[#This Row],[Rating]],Guidance!$A$11:$C$15,3,0),"")</f>
        <v/>
      </c>
      <c r="Q71"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c r="U71"/>
      <c r="V71"/>
      <c r="W71"/>
    </row>
    <row r="72" spans="1:23" ht="83.5" customHeight="1" x14ac:dyDescent="0.2">
      <c r="A72" s="12" t="str">
        <f t="shared" si="5"/>
        <v>fill in name of country/state in guidance sheet</v>
      </c>
      <c r="B72" s="12">
        <f t="shared" si="6"/>
        <v>2026</v>
      </c>
      <c r="C72" s="12" t="s">
        <v>86</v>
      </c>
      <c r="D72" s="2" t="str">
        <f t="shared" si="7"/>
        <v>Sanitation &amp; hygiene</v>
      </c>
      <c r="E72" s="12"/>
      <c r="F72" s="12"/>
      <c r="G72" s="12"/>
      <c r="H72" s="12">
        <v>103</v>
      </c>
      <c r="I72" s="11" t="str">
        <f>IF(tblNational_S_H[[#This Row],[Code]]&gt;9.99,LEFT(tblNational_S_H[[#This Row],[Code]],2),LEFT(tblNational_S_H[[#This Row],[Code]],1))</f>
        <v>In</v>
      </c>
      <c r="J72" s="134" t="s">
        <v>183</v>
      </c>
      <c r="K72" s="139" t="s">
        <v>97</v>
      </c>
      <c r="L72" s="136" t="s">
        <v>184</v>
      </c>
      <c r="M72" s="123"/>
      <c r="N72" s="126"/>
      <c r="O72" s="126"/>
      <c r="P72" s="124" t="str">
        <f>IFERROR(VLOOKUP(tblNational_S_H[[#This Row],[Rating]],Guidance!$A$11:$C$15,3,0),"")</f>
        <v/>
      </c>
      <c r="Q72" s="125" t="str">
        <f>IFERROR(
    IF(
        tblNational_S_H[[#This Row],[Code]]="Index Indicator 1",
        AVERAGEIF(tblNational_S_H[Contributing to Index Indicator 1 Climate],"Yes",tblNational_S_H[Indicator Score]),
        IF(
            tblNational_S_H[[#This Row],[Code]]="Index Indicator 2",
            AVERAGEIF(tblNational_S_H[Contributing to Index Indicator 2 Capacity],"Yes",tblNational_S_H[Indicator Score]),
            IF(
                tblNational_S_H[[#This Row],[Code]]="Index Indicator 3",
                AVERAGEIF(tblNational_S_H[Contributes to Index Indicator 3],"Yes",tblNational_S_H[Indicator Score]),
                AVERAGEIF(tblNational_S_H[Outcome- number],tblNational_S_H[[#This Row],[Outcome- number]],tblNational_S_H[Indicator Score])
            )
        )
    ),
"")</f>
        <v/>
      </c>
    </row>
    <row r="73" spans="1:23" x14ac:dyDescent="0.2">
      <c r="L73" s="87"/>
      <c r="M73" s="87"/>
    </row>
    <row r="74" spans="1:23" x14ac:dyDescent="0.2">
      <c r="L74" s="87"/>
      <c r="M74" s="87"/>
    </row>
    <row r="75" spans="1:23" x14ac:dyDescent="0.2">
      <c r="L75" s="87"/>
      <c r="M75" s="87"/>
    </row>
    <row r="76" spans="1:23" x14ac:dyDescent="0.2">
      <c r="L76" s="87"/>
      <c r="M76" s="87"/>
    </row>
    <row r="77" spans="1:23" x14ac:dyDescent="0.2">
      <c r="L77" s="87"/>
      <c r="M77" s="87"/>
    </row>
    <row r="78" spans="1:23" x14ac:dyDescent="0.2">
      <c r="L78" s="87"/>
      <c r="M78" s="87"/>
    </row>
    <row r="79" spans="1:23" x14ac:dyDescent="0.2">
      <c r="L79" s="87"/>
      <c r="M79" s="87"/>
    </row>
    <row r="80" spans="1:23" x14ac:dyDescent="0.2">
      <c r="L80" s="87"/>
      <c r="M80" s="87"/>
    </row>
    <row r="81" spans="12:13" x14ac:dyDescent="0.2">
      <c r="L81" s="87"/>
      <c r="M81" s="87"/>
    </row>
    <row r="82" spans="12:13" x14ac:dyDescent="0.2">
      <c r="L82" s="87"/>
      <c r="M82" s="87"/>
    </row>
    <row r="83" spans="12:13" x14ac:dyDescent="0.2">
      <c r="L83" s="87"/>
      <c r="M83" s="87"/>
    </row>
    <row r="84" spans="12:13" x14ac:dyDescent="0.2">
      <c r="L84" s="87"/>
      <c r="M84" s="87"/>
    </row>
    <row r="85" spans="12:13" x14ac:dyDescent="0.2">
      <c r="L85" s="87"/>
      <c r="M85" s="87"/>
    </row>
    <row r="86" spans="12:13" x14ac:dyDescent="0.2">
      <c r="L86" s="87"/>
      <c r="M86" s="87"/>
    </row>
    <row r="87" spans="12:13" x14ac:dyDescent="0.2">
      <c r="L87" s="87"/>
      <c r="M87" s="87"/>
    </row>
    <row r="88" spans="12:13" x14ac:dyDescent="0.2">
      <c r="L88" s="87"/>
      <c r="M88" s="87"/>
    </row>
    <row r="89" spans="12:13" x14ac:dyDescent="0.2">
      <c r="L89" s="87"/>
      <c r="M89" s="87"/>
    </row>
    <row r="90" spans="12:13" x14ac:dyDescent="0.2">
      <c r="L90" s="87"/>
      <c r="M90" s="87"/>
    </row>
    <row r="91" spans="12:13" x14ac:dyDescent="0.2">
      <c r="L91" s="87"/>
      <c r="M91" s="87"/>
    </row>
  </sheetData>
  <sheetProtection algorithmName="SHA-512" hashValue="h5S9HHTuXgaoaQ+F6E5qwAayD2yVWBBBXusyV1uVSQlCm9wAThnfH0xoBQgeXu1V5W40InDoJDGSILPgK7Xy/Q==" saltValue="n7Ay7MvqsURe58LlJWP27g==" spinCount="100000" sheet="1" objects="1" scenarios="1" formatCells="0" formatColumns="0" formatRows="0" autoFilter="0"/>
  <protectedRanges>
    <protectedRange sqref="N10:O11 M7:M11 M12:O72" name="Range1"/>
    <protectedRange sqref="O1" name="Range5"/>
  </protectedRanges>
  <conditionalFormatting sqref="M6:O72">
    <cfRule type="containsBlanks" dxfId="77" priority="9">
      <formula>LEN(TRIM(M6))=0</formula>
    </cfRule>
  </conditionalFormatting>
  <conditionalFormatting sqref="M6:P72">
    <cfRule type="expression" dxfId="76" priority="2" stopIfTrue="1">
      <formula>$C6="Calculation"</formula>
    </cfRule>
  </conditionalFormatting>
  <conditionalFormatting sqref="N6:O72">
    <cfRule type="notContainsBlanks" dxfId="75" priority="1">
      <formula>LEN(TRIM(N6))&gt;0</formula>
    </cfRule>
  </conditionalFormatting>
  <conditionalFormatting sqref="P6:P72">
    <cfRule type="cellIs" dxfId="74" priority="3" operator="greaterThan">
      <formula>1</formula>
    </cfRule>
    <cfRule type="cellIs" dxfId="73" priority="4" operator="equal">
      <formula>1</formula>
    </cfRule>
    <cfRule type="cellIs" dxfId="72" priority="5" operator="greaterThanOrEqual">
      <formula>0.75</formula>
    </cfRule>
    <cfRule type="cellIs" dxfId="71" priority="6" operator="greaterThanOrEqual">
      <formula>0.5</formula>
    </cfRule>
    <cfRule type="cellIs" dxfId="70" priority="7" operator="greaterThanOrEqual">
      <formula>0.25</formula>
    </cfRule>
    <cfRule type="cellIs" dxfId="69" priority="8" operator="greaterThanOrEqual">
      <formula>0</formula>
    </cfRule>
  </conditionalFormatting>
  <conditionalFormatting sqref="W6:W19">
    <cfRule type="containsBlanks" dxfId="68" priority="10">
      <formula>LEN(TRIM(W6))=0</formula>
    </cfRule>
    <cfRule type="cellIs" dxfId="67" priority="11" operator="greaterThanOrEqual">
      <formula>1</formula>
    </cfRule>
    <cfRule type="cellIs" dxfId="66" priority="12" operator="greaterThanOrEqual">
      <formula>0.75</formula>
    </cfRule>
    <cfRule type="cellIs" dxfId="65" priority="13" operator="greaterThanOrEqual">
      <formula>0.5</formula>
    </cfRule>
    <cfRule type="cellIs" dxfId="64" priority="14" operator="greaterThanOrEqual">
      <formula>0.25</formula>
    </cfRule>
    <cfRule type="cellIs" dxfId="63" priority="15" operator="greaterThanOrEqual">
      <formula>0</formula>
    </cfRule>
  </conditionalFormatting>
  <dataValidations count="3">
    <dataValidation allowBlank="1" showInputMessage="1" showErrorMessage="1" sqref="M12 M17 M21 M30 M37 M45 M51 M58 M64 M70:M72" xr:uid="{D76BA6E1-238E-435D-A0D6-C2471470497F}"/>
    <dataValidation type="list" allowBlank="1" showInputMessage="1" showErrorMessage="1" sqref="D6:D72" xr:uid="{B2C8C6C3-076F-412D-8DEE-8C96D9EB1960}">
      <formula1>category</formula1>
    </dataValidation>
    <dataValidation type="list" allowBlank="1" showInputMessage="1" showErrorMessage="1" sqref="E6:G72" xr:uid="{026C4439-2FCE-41F9-9C38-690BB7EB0BB9}">
      <formula1>"Yes,No"</formula1>
    </dataValidation>
  </dataValidations>
  <pageMargins left="0.70866141732283472" right="0.70866141732283472" top="0.74803149606299213" bottom="0.74803149606299213" header="0.31496062992125984" footer="0.31496062992125984"/>
  <pageSetup paperSize="9" scale="37" fitToHeight="0" orientation="landscape" r:id="rId1"/>
  <headerFooter>
    <oddFooter>&amp;L&amp;F&amp;C&amp;A&amp;RPage &amp;P of &amp;N</oddFooter>
  </headerFooter>
  <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containsText" priority="16" operator="containsText" id="{6BF86AC2-4ED7-406E-A128-5B8DC6F4B085}">
            <xm:f>NOT(ISERROR(SEARCH(Guidance!$A$14,M7)))</xm:f>
            <xm:f>Guidance!$A$14</xm:f>
            <x14:dxf>
              <fill>
                <patternFill>
                  <bgColor rgb="FFFFC000"/>
                </patternFill>
              </fill>
            </x14:dxf>
          </x14:cfRule>
          <x14:cfRule type="containsText" priority="17" operator="containsText" id="{2531BA9F-4124-479C-B72E-DF317197A9AF}">
            <xm:f>NOT(ISERROR(SEARCH(Guidance!$A$13,M7)))</xm:f>
            <xm:f>Guidance!$A$13</xm:f>
            <x14:dxf>
              <fill>
                <patternFill>
                  <bgColor rgb="FFFFFF00"/>
                </patternFill>
              </fill>
            </x14:dxf>
          </x14:cfRule>
          <x14:cfRule type="containsText" priority="18" operator="containsText" id="{B43BC4A9-A789-410F-952D-9CC8B81E8BF5}">
            <xm:f>NOT(ISERROR(SEARCH(Guidance!$A$15,M7)))</xm:f>
            <xm:f>Guidance!$A$15</xm:f>
            <x14:dxf>
              <fill>
                <patternFill>
                  <bgColor rgb="FFFF0000"/>
                </patternFill>
              </fill>
            </x14:dxf>
          </x14:cfRule>
          <x14:cfRule type="containsText" priority="19" operator="containsText" id="{40810CCE-F7D3-4055-B745-249654C50648}">
            <xm:f>NOT(ISERROR(SEARCH(Guidance!$A$12,M7)))</xm:f>
            <xm:f>Guidance!$A$12</xm:f>
            <x14:dxf>
              <fill>
                <patternFill>
                  <bgColor rgb="FF92D050"/>
                </patternFill>
              </fill>
            </x14:dxf>
          </x14:cfRule>
          <x14:cfRule type="containsText" priority="20" operator="containsText" id="{30FCB4DA-C6DD-49B1-B704-91D01DA12BFA}">
            <xm:f>NOT(ISERROR(SEARCH(Guidance!$A$11,M7)))</xm:f>
            <xm:f>Guidance!$A$11</xm:f>
            <x14:dxf>
              <fill>
                <patternFill>
                  <bgColor rgb="FF00B050"/>
                </patternFill>
              </fill>
            </x14:dxf>
          </x14:cfRule>
          <xm:sqref>M7:M72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66B0DDB-9376-408C-B9A9-43319176D3A1}">
          <x14:formula1>
            <xm:f>Guidance!$A$11:$A$16</xm:f>
          </x14:formula1>
          <xm:sqref>M7</xm:sqref>
        </x14:dataValidation>
        <x14:dataValidation type="list" allowBlank="1" showInputMessage="1" showErrorMessage="1" xr:uid="{D3900BB7-AA3D-44E2-93F2-936D936B256E}">
          <x14:formula1>
            <xm:f>Guidance!$A$11:$A$15</xm:f>
          </x14:formula1>
          <xm:sqref>M65:M69 M13:M16 M18:M20 M22:M29 M31:M36 M38:M44 M46:M50 M52:M57 M59:M63 M8:M11</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D329-8FEB-4CFA-93BF-19559EE49924}">
  <sheetPr>
    <tabColor theme="9" tint="-0.249977111117893"/>
    <pageSetUpPr fitToPage="1"/>
  </sheetPr>
  <dimension ref="A1:W79"/>
  <sheetViews>
    <sheetView showGridLines="0" zoomScale="70" zoomScaleNormal="70" workbookViewId="0">
      <pane xSplit="13" ySplit="5" topLeftCell="N6" activePane="bottomRight" state="frozen"/>
      <selection pane="topRight" activeCell="P1" sqref="P1"/>
      <selection pane="bottomLeft" activeCell="M35" sqref="M35"/>
      <selection pane="bottomRight"/>
    </sheetView>
  </sheetViews>
  <sheetFormatPr baseColWidth="10" defaultColWidth="11.33203125" defaultRowHeight="16" x14ac:dyDescent="0.2"/>
  <cols>
    <col min="1" max="1" width="10.6640625" hidden="1" customWidth="1"/>
    <col min="2" max="2" width="24.33203125" hidden="1" customWidth="1"/>
    <col min="3" max="3" width="28.6640625" hidden="1" customWidth="1"/>
    <col min="4" max="4" width="21.83203125" hidden="1" customWidth="1"/>
    <col min="5" max="5" width="26.5" hidden="1" customWidth="1"/>
    <col min="6" max="6" width="23.1640625" hidden="1" customWidth="1"/>
    <col min="7" max="7" width="24" hidden="1" customWidth="1"/>
    <col min="8" max="8" width="23.6640625" hidden="1" customWidth="1"/>
    <col min="9" max="9" width="27.6640625" hidden="1" customWidth="1"/>
    <col min="10" max="10" width="23.1640625" style="3" customWidth="1"/>
    <col min="11" max="11" width="22" style="2" customWidth="1"/>
    <col min="12" max="12" width="79.33203125" style="1" customWidth="1"/>
    <col min="13" max="13" width="17.83203125" style="1" customWidth="1"/>
    <col min="14" max="14" width="31.6640625" customWidth="1"/>
    <col min="15" max="15" width="37.33203125" style="1" customWidth="1"/>
    <col min="16" max="16" width="12.6640625" style="3" customWidth="1"/>
    <col min="17" max="17" width="18.83203125" style="3" customWidth="1"/>
    <col min="18" max="18" width="7.1640625" customWidth="1"/>
    <col min="19" max="20" width="11.33203125" hidden="1" customWidth="1"/>
    <col min="21" max="21" width="12.6640625" style="1" customWidth="1"/>
    <col min="22" max="22" width="42" style="1" customWidth="1"/>
    <col min="23" max="23" width="17.33203125" style="3" customWidth="1"/>
  </cols>
  <sheetData>
    <row r="1" spans="1:23" ht="19" x14ac:dyDescent="0.2">
      <c r="A1" s="24"/>
      <c r="B1" s="24"/>
      <c r="C1" s="24"/>
      <c r="D1" s="25"/>
      <c r="E1" s="26"/>
      <c r="F1" s="26"/>
      <c r="G1" s="26"/>
      <c r="H1" s="24"/>
      <c r="I1" s="24"/>
      <c r="J1" s="24"/>
      <c r="K1" s="27" t="s">
        <v>61</v>
      </c>
      <c r="L1" s="24"/>
      <c r="M1" s="47"/>
      <c r="N1" s="52" t="s">
        <v>62</v>
      </c>
      <c r="O1" s="86" t="str">
        <f>IF(Guidance!E5="","fill in name of country/state in guidance sheet",Guidance!E5)</f>
        <v>fill in name of country/state in guidance sheet</v>
      </c>
      <c r="P1" s="29"/>
      <c r="Q1" s="29"/>
      <c r="R1" s="25"/>
      <c r="S1" s="25"/>
      <c r="T1" s="24"/>
      <c r="U1" s="24"/>
      <c r="V1" s="29"/>
      <c r="W1" s="25"/>
    </row>
    <row r="2" spans="1:23" ht="30" customHeight="1" x14ac:dyDescent="0.2">
      <c r="A2" s="25"/>
      <c r="B2" s="24"/>
      <c r="C2" s="24"/>
      <c r="D2" s="25"/>
      <c r="E2" s="26"/>
      <c r="F2" s="26"/>
      <c r="G2" s="26"/>
      <c r="H2" s="24"/>
      <c r="I2" s="24"/>
      <c r="J2" s="24"/>
      <c r="K2" s="24" t="s">
        <v>3</v>
      </c>
      <c r="L2" s="24"/>
      <c r="M2" s="47"/>
      <c r="N2" s="52" t="s">
        <v>63</v>
      </c>
      <c r="O2" s="52" t="s">
        <v>54</v>
      </c>
      <c r="P2" s="29"/>
      <c r="Q2" s="29"/>
      <c r="R2" s="25"/>
      <c r="S2" s="25"/>
      <c r="T2" s="24"/>
      <c r="U2" s="24"/>
      <c r="V2" s="29"/>
      <c r="W2" s="25"/>
    </row>
    <row r="3" spans="1:23" s="89" customFormat="1" ht="13.5" customHeight="1" x14ac:dyDescent="0.2">
      <c r="B3" s="140"/>
      <c r="C3" s="140"/>
      <c r="E3" s="141"/>
      <c r="F3" s="141"/>
      <c r="G3" s="141"/>
      <c r="H3" s="140"/>
      <c r="I3" s="140"/>
      <c r="J3" s="140"/>
      <c r="K3" s="140"/>
      <c r="L3" s="140"/>
      <c r="M3" s="142"/>
      <c r="N3" s="143"/>
      <c r="O3" s="144"/>
      <c r="P3" s="144"/>
      <c r="Q3" s="144"/>
      <c r="T3" s="140"/>
      <c r="U3" s="140"/>
      <c r="V3" s="144"/>
    </row>
    <row r="4" spans="1:23" ht="26.5" customHeight="1" x14ac:dyDescent="0.2">
      <c r="A4" s="90" t="s">
        <v>64</v>
      </c>
      <c r="B4" s="90"/>
      <c r="C4" s="90"/>
      <c r="D4" s="90"/>
      <c r="E4" s="90"/>
      <c r="F4" s="90"/>
      <c r="G4" s="90"/>
      <c r="H4" s="90"/>
      <c r="I4" s="90"/>
      <c r="M4" s="107" t="s">
        <v>65</v>
      </c>
      <c r="N4" s="107"/>
      <c r="O4" s="107"/>
      <c r="P4"/>
      <c r="Q4"/>
      <c r="T4" s="1"/>
      <c r="U4" s="104"/>
      <c r="V4" s="104" t="s">
        <v>66</v>
      </c>
      <c r="W4" s="105"/>
    </row>
    <row r="5" spans="1:23" ht="42" customHeight="1" x14ac:dyDescent="0.2">
      <c r="A5" s="13" t="s">
        <v>67</v>
      </c>
      <c r="B5" s="13" t="s">
        <v>8</v>
      </c>
      <c r="C5" s="13" t="s">
        <v>68</v>
      </c>
      <c r="D5" s="13" t="s">
        <v>69</v>
      </c>
      <c r="E5" s="13" t="s">
        <v>70</v>
      </c>
      <c r="F5" s="13" t="s">
        <v>71</v>
      </c>
      <c r="G5" s="13" t="s">
        <v>72</v>
      </c>
      <c r="H5" s="13" t="s">
        <v>73</v>
      </c>
      <c r="I5" s="14" t="s">
        <v>74</v>
      </c>
      <c r="J5" s="145" t="s">
        <v>75</v>
      </c>
      <c r="K5" s="145" t="s">
        <v>76</v>
      </c>
      <c r="L5" s="145" t="s">
        <v>186</v>
      </c>
      <c r="M5" s="145" t="s">
        <v>78</v>
      </c>
      <c r="N5" s="146" t="s">
        <v>187</v>
      </c>
      <c r="O5" s="147" t="s">
        <v>80</v>
      </c>
      <c r="P5" s="148" t="s">
        <v>188</v>
      </c>
      <c r="Q5" s="148" t="s">
        <v>85</v>
      </c>
      <c r="S5" s="97" t="s">
        <v>69</v>
      </c>
      <c r="T5" s="99" t="s">
        <v>83</v>
      </c>
      <c r="U5" s="100" t="s">
        <v>84</v>
      </c>
      <c r="V5" s="101" t="s">
        <v>75</v>
      </c>
      <c r="W5" s="30" t="s">
        <v>85</v>
      </c>
    </row>
    <row r="6" spans="1:23" ht="83.5" customHeight="1" x14ac:dyDescent="0.2">
      <c r="A6" s="12" t="str">
        <f t="shared" ref="A6:A37" si="0">IF($O$1="Fill in Name","National",$O$1)</f>
        <v>fill in name of country/state in guidance sheet</v>
      </c>
      <c r="B6" s="12">
        <f t="shared" ref="B6:B37" si="1">Year</f>
        <v>2026</v>
      </c>
      <c r="C6" s="12" t="s">
        <v>86</v>
      </c>
      <c r="D6" s="2" t="str">
        <f t="shared" ref="D6:D37" si="2">$O$2</f>
        <v>Water</v>
      </c>
      <c r="E6" s="72"/>
      <c r="F6" s="72"/>
      <c r="G6" s="72"/>
      <c r="H6" s="12">
        <v>1</v>
      </c>
      <c r="I6" s="11" t="str">
        <f>IF(tblNational_HCF[[#This Row],[Code]]&gt;9.99,LEFT(tblNational_HCF[[#This Row],[Code]],2),LEFT(tblNational_HCF[[#This Row],[Code]],1))</f>
        <v>1</v>
      </c>
      <c r="J6" s="131" t="s">
        <v>87</v>
      </c>
      <c r="K6" s="138">
        <v>1</v>
      </c>
      <c r="L6" s="132" t="s">
        <v>88</v>
      </c>
      <c r="M6" s="123"/>
      <c r="N6" s="126" t="s">
        <v>89</v>
      </c>
      <c r="O6" s="126"/>
      <c r="P6" s="124" t="str">
        <f>IFERROR(VLOOKUP(tblNational_HCF[[#This Row],[Rating]],Guidance!$A$11:$C$15,3,0),"")</f>
        <v/>
      </c>
      <c r="Q6"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6" s="97" t="str">
        <f t="shared" ref="S6:S18" si="3">$O$2</f>
        <v>Water</v>
      </c>
      <c r="T6" s="98" t="str">
        <f t="shared" ref="T6:T18" si="4">$O$1</f>
        <v>fill in name of country/state in guidance sheet</v>
      </c>
      <c r="U6" s="82" t="s">
        <v>90</v>
      </c>
      <c r="V6" s="82" t="s">
        <v>91</v>
      </c>
      <c r="W6" s="103" t="str">
        <f>IFERROR(VLOOKUP(Results_HCF_national[[#This Row],[Indicator]],tblNational_HCF[[#All],[Code]:[Index]],7,0),"")</f>
        <v/>
      </c>
    </row>
    <row r="7" spans="1:23" ht="83.5" customHeight="1" x14ac:dyDescent="0.2">
      <c r="A7" s="12" t="str">
        <f t="shared" si="0"/>
        <v>fill in name of country/state in guidance sheet</v>
      </c>
      <c r="B7" s="12">
        <f t="shared" si="1"/>
        <v>2026</v>
      </c>
      <c r="C7" s="12" t="s">
        <v>92</v>
      </c>
      <c r="D7" s="2" t="str">
        <f t="shared" si="2"/>
        <v>Water</v>
      </c>
      <c r="E7" s="72"/>
      <c r="F7" s="72"/>
      <c r="G7" s="72"/>
      <c r="H7" s="12">
        <v>2</v>
      </c>
      <c r="I7" s="11" t="str">
        <f>IF(tblNational_HCF[[#This Row],[Code]]&gt;9.99,LEFT(tblNational_HCF[[#This Row],[Code]],2),LEFT(tblNational_HCF[[#This Row],[Code]],1))</f>
        <v>1</v>
      </c>
      <c r="J7" s="74" t="s">
        <v>87</v>
      </c>
      <c r="K7" s="76">
        <v>1.1000000000000001</v>
      </c>
      <c r="L7" s="77" t="s">
        <v>93</v>
      </c>
      <c r="M7" s="95"/>
      <c r="N7" s="111"/>
      <c r="O7" s="113"/>
      <c r="P7" s="127" t="str">
        <f>IFERROR(VLOOKUP(tblNational_HCF[[#This Row],[Rating]],Guidance!$A$11:$C$15,3,0),"")</f>
        <v/>
      </c>
      <c r="Q7" s="117"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7" s="97" t="str">
        <f t="shared" si="3"/>
        <v>Water</v>
      </c>
      <c r="T7" s="98" t="str">
        <f t="shared" si="4"/>
        <v>fill in name of country/state in guidance sheet</v>
      </c>
      <c r="U7" s="82" t="s">
        <v>94</v>
      </c>
      <c r="V7" s="82" t="s">
        <v>95</v>
      </c>
      <c r="W7" s="103" t="str">
        <f>IFERROR(VLOOKUP(Results_HCF_national[[#This Row],[Indicator]],tblNational_HCF[[#All],[Code]:[Index]],7,0),"")</f>
        <v/>
      </c>
    </row>
    <row r="8" spans="1:23" ht="83.5" customHeight="1" x14ac:dyDescent="0.2">
      <c r="A8" s="12" t="str">
        <f t="shared" si="0"/>
        <v>fill in name of country/state in guidance sheet</v>
      </c>
      <c r="B8" s="12">
        <f t="shared" si="1"/>
        <v>2026</v>
      </c>
      <c r="C8" s="12" t="s">
        <v>92</v>
      </c>
      <c r="D8" s="2" t="str">
        <f t="shared" si="2"/>
        <v>Water</v>
      </c>
      <c r="E8" s="72"/>
      <c r="F8" s="72"/>
      <c r="G8" s="72"/>
      <c r="H8" s="12">
        <v>3</v>
      </c>
      <c r="I8" s="11" t="str">
        <f>IF(tblNational_HCF[[#This Row],[Code]]&gt;9.99,LEFT(tblNational_HCF[[#This Row],[Code]],2),LEFT(tblNational_HCF[[#This Row],[Code]],1))</f>
        <v>1</v>
      </c>
      <c r="J8" s="74" t="s">
        <v>87</v>
      </c>
      <c r="K8" s="76">
        <v>1.2</v>
      </c>
      <c r="L8" s="77" t="s">
        <v>190</v>
      </c>
      <c r="M8" s="95"/>
      <c r="N8" s="111"/>
      <c r="O8" s="112"/>
      <c r="P8" s="118" t="str">
        <f>IFERROR(VLOOKUP(tblNational_HCF[[#This Row],[Rating]],Guidance!$A$11:$C$15,3,0),"")</f>
        <v/>
      </c>
      <c r="Q8"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8" s="97" t="str">
        <f t="shared" si="3"/>
        <v>Water</v>
      </c>
      <c r="T8" s="98" t="str">
        <f t="shared" si="4"/>
        <v>fill in name of country/state in guidance sheet</v>
      </c>
      <c r="U8" s="82" t="s">
        <v>97</v>
      </c>
      <c r="V8" s="82" t="s">
        <v>98</v>
      </c>
      <c r="W8" s="103" t="str">
        <f>IFERROR(VLOOKUP(Results_HCF_national[[#This Row],[Indicator]],tblNational_HCF[[#All],[Code]:[Index]],7,0),"")</f>
        <v/>
      </c>
    </row>
    <row r="9" spans="1:23" ht="83.5" customHeight="1" x14ac:dyDescent="0.2">
      <c r="A9" s="12" t="str">
        <f t="shared" si="0"/>
        <v>fill in name of country/state in guidance sheet</v>
      </c>
      <c r="B9" s="12">
        <f t="shared" si="1"/>
        <v>2026</v>
      </c>
      <c r="C9" s="12" t="s">
        <v>92</v>
      </c>
      <c r="D9" s="2" t="str">
        <f t="shared" si="2"/>
        <v>Water</v>
      </c>
      <c r="E9" s="72"/>
      <c r="F9" s="72"/>
      <c r="G9" s="72"/>
      <c r="H9" s="12">
        <v>4</v>
      </c>
      <c r="I9" s="11" t="str">
        <f>IF(tblNational_HCF[[#This Row],[Code]]&gt;9.99,LEFT(tblNational_HCF[[#This Row],[Code]],2),LEFT(tblNational_HCF[[#This Row],[Code]],1))</f>
        <v>1</v>
      </c>
      <c r="J9" s="75" t="s">
        <v>87</v>
      </c>
      <c r="K9" s="108">
        <v>1.3</v>
      </c>
      <c r="L9" s="77" t="s">
        <v>222</v>
      </c>
      <c r="M9" s="95"/>
      <c r="N9" s="111"/>
      <c r="O9" s="112"/>
      <c r="P9" s="118" t="str">
        <f>IFERROR(VLOOKUP(tblNational_HCF[[#This Row],[Rating]],Guidance!$A$11:$C$15,3,0),"")</f>
        <v/>
      </c>
      <c r="Q9"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9" s="97" t="str">
        <f t="shared" si="3"/>
        <v>Water</v>
      </c>
      <c r="T9" s="98" t="str">
        <f t="shared" si="4"/>
        <v>fill in name of country/state in guidance sheet</v>
      </c>
      <c r="U9" s="82">
        <v>1</v>
      </c>
      <c r="V9" s="82" t="s">
        <v>87</v>
      </c>
      <c r="W9" s="103" t="str">
        <f>IFERROR(VLOOKUP(Results_HCF_national[[#This Row],[Indicator]],tblNational_HCF[[#All],[Code]:[Index]],7,0),"")</f>
        <v/>
      </c>
    </row>
    <row r="10" spans="1:23" ht="83.5" customHeight="1" x14ac:dyDescent="0.2">
      <c r="A10" s="12" t="str">
        <f t="shared" si="0"/>
        <v>fill in name of country/state in guidance sheet</v>
      </c>
      <c r="B10" s="12">
        <f t="shared" si="1"/>
        <v>2026</v>
      </c>
      <c r="C10" s="12" t="s">
        <v>86</v>
      </c>
      <c r="D10" s="2" t="str">
        <f t="shared" si="2"/>
        <v>Water</v>
      </c>
      <c r="E10" s="72"/>
      <c r="F10" s="72"/>
      <c r="G10" s="72" t="s">
        <v>126</v>
      </c>
      <c r="H10" s="12">
        <v>5</v>
      </c>
      <c r="I10" s="11" t="str">
        <f>IF(tblNational_HCF[[#This Row],[Code]]&gt;9.99,LEFT(tblNational_HCF[[#This Row],[Code]],2),LEFT(tblNational_HCF[[#This Row],[Code]],1))</f>
        <v>2</v>
      </c>
      <c r="J10" s="133" t="s">
        <v>102</v>
      </c>
      <c r="K10" s="139">
        <v>2</v>
      </c>
      <c r="L10" s="134" t="s">
        <v>105</v>
      </c>
      <c r="M10" s="123"/>
      <c r="N10" s="126"/>
      <c r="O10" s="126"/>
      <c r="P10" s="124" t="str">
        <f>IFERROR(VLOOKUP(tblNational_HCF[[#This Row],[Rating]],Guidance!$A$11:$C$15,3,0),"")</f>
        <v/>
      </c>
      <c r="Q10"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10" s="97" t="str">
        <f t="shared" si="3"/>
        <v>Water</v>
      </c>
      <c r="T10" s="98" t="str">
        <f t="shared" si="4"/>
        <v>fill in name of country/state in guidance sheet</v>
      </c>
      <c r="U10" s="82">
        <v>2</v>
      </c>
      <c r="V10" s="82" t="s">
        <v>102</v>
      </c>
      <c r="W10" s="103" t="str">
        <f>IFERROR(VLOOKUP(Results_HCF_national[[#This Row],[Indicator]],tblNational_HCF[[#All],[Code]:[Index]],7,0),"")</f>
        <v/>
      </c>
    </row>
    <row r="11" spans="1:23" ht="83.5" customHeight="1" x14ac:dyDescent="0.2">
      <c r="A11" s="12" t="str">
        <f t="shared" si="0"/>
        <v>fill in name of country/state in guidance sheet</v>
      </c>
      <c r="B11" s="12">
        <f t="shared" si="1"/>
        <v>2026</v>
      </c>
      <c r="C11" s="12" t="s">
        <v>92</v>
      </c>
      <c r="D11" s="2" t="str">
        <f t="shared" si="2"/>
        <v>Water</v>
      </c>
      <c r="E11" s="72"/>
      <c r="F11" s="72"/>
      <c r="G11" s="72"/>
      <c r="H11" s="12">
        <v>6</v>
      </c>
      <c r="I11" s="11" t="str">
        <f>IF(tblNational_HCF[[#This Row],[Code]]&gt;9.99,LEFT(tblNational_HCF[[#This Row],[Code]],2),LEFT(tblNational_HCF[[#This Row],[Code]],1))</f>
        <v>2</v>
      </c>
      <c r="J11" s="74" t="s">
        <v>102</v>
      </c>
      <c r="K11" s="76">
        <v>2.1</v>
      </c>
      <c r="L11" s="79" t="s">
        <v>223</v>
      </c>
      <c r="M11" s="95"/>
      <c r="N11" s="73"/>
      <c r="O11" s="73"/>
      <c r="P11" s="128" t="str">
        <f>IFERROR(VLOOKUP(tblNational_HCF[[#This Row],[Rating]],Guidance!$A$11:$C$15,3,0),"")</f>
        <v/>
      </c>
      <c r="Q11" s="117"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11" s="97" t="str">
        <f t="shared" si="3"/>
        <v>Water</v>
      </c>
      <c r="T11" s="98" t="str">
        <f t="shared" si="4"/>
        <v>fill in name of country/state in guidance sheet</v>
      </c>
      <c r="U11" s="82">
        <v>3</v>
      </c>
      <c r="V11" s="82" t="s">
        <v>104</v>
      </c>
      <c r="W11" s="103" t="str">
        <f>IFERROR(VLOOKUP(Results_HCF_national[[#This Row],[Indicator]],tblNational_HCF[[#All],[Code]:[Index]],7,0),"")</f>
        <v/>
      </c>
    </row>
    <row r="12" spans="1:23" ht="83.5" customHeight="1" x14ac:dyDescent="0.2">
      <c r="A12" s="12" t="str">
        <f t="shared" si="0"/>
        <v>fill in name of country/state in guidance sheet</v>
      </c>
      <c r="B12" s="12">
        <f t="shared" si="1"/>
        <v>2026</v>
      </c>
      <c r="C12" s="12" t="s">
        <v>92</v>
      </c>
      <c r="D12" s="2" t="str">
        <f t="shared" si="2"/>
        <v>Water</v>
      </c>
      <c r="E12" s="72"/>
      <c r="F12" s="72" t="s">
        <v>100</v>
      </c>
      <c r="G12" s="72"/>
      <c r="H12" s="12">
        <v>7</v>
      </c>
      <c r="I12" s="11" t="str">
        <f>IF(tblNational_HCF[[#This Row],[Code]]&gt;9.99,LEFT(tblNational_HCF[[#This Row],[Code]],2),LEFT(tblNational_HCF[[#This Row],[Code]],1))</f>
        <v>2</v>
      </c>
      <c r="J12" s="74" t="s">
        <v>102</v>
      </c>
      <c r="K12" s="76">
        <v>2.2000000000000002</v>
      </c>
      <c r="L12" s="80" t="s">
        <v>109</v>
      </c>
      <c r="M12" s="95"/>
      <c r="N12" s="73"/>
      <c r="O12" s="73"/>
      <c r="P12" s="118" t="str">
        <f>IFERROR(VLOOKUP(tblNational_HCF[[#This Row],[Rating]],Guidance!$A$11:$C$15,3,0),"")</f>
        <v/>
      </c>
      <c r="Q12"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12" s="97" t="str">
        <f t="shared" si="3"/>
        <v>Water</v>
      </c>
      <c r="T12" s="98" t="str">
        <f t="shared" si="4"/>
        <v>fill in name of country/state in guidance sheet</v>
      </c>
      <c r="U12" s="82">
        <v>4</v>
      </c>
      <c r="V12" s="82" t="s">
        <v>106</v>
      </c>
      <c r="W12" s="103" t="str">
        <f>IFERROR(VLOOKUP(Results_HCF_national[[#This Row],[Indicator]],tblNational_HCF[[#All],[Code]:[Index]],7,0),"")</f>
        <v/>
      </c>
    </row>
    <row r="13" spans="1:23" ht="83.5" customHeight="1" x14ac:dyDescent="0.2">
      <c r="A13" s="12" t="str">
        <f t="shared" si="0"/>
        <v>fill in name of country/state in guidance sheet</v>
      </c>
      <c r="B13" s="12">
        <f t="shared" si="1"/>
        <v>2026</v>
      </c>
      <c r="C13" s="12" t="s">
        <v>92</v>
      </c>
      <c r="D13" s="2" t="str">
        <f t="shared" si="2"/>
        <v>Water</v>
      </c>
      <c r="E13" s="72"/>
      <c r="F13" s="72"/>
      <c r="G13" s="72" t="s">
        <v>100</v>
      </c>
      <c r="H13" s="12">
        <v>8</v>
      </c>
      <c r="I13" s="11" t="str">
        <f>IF(tblNational_HCF[[#This Row],[Code]]&gt;9.99,LEFT(tblNational_HCF[[#This Row],[Code]],2),LEFT(tblNational_HCF[[#This Row],[Code]],1))</f>
        <v>2</v>
      </c>
      <c r="J13" s="74" t="s">
        <v>102</v>
      </c>
      <c r="K13" s="76">
        <v>2.2999999999999998</v>
      </c>
      <c r="L13" s="77" t="s">
        <v>224</v>
      </c>
      <c r="M13" s="95"/>
      <c r="N13" s="111"/>
      <c r="O13" s="112"/>
      <c r="P13" s="118" t="str">
        <f>IFERROR(VLOOKUP(tblNational_HCF[[#This Row],[Rating]],Guidance!$A$11:$C$15,3,0),"")</f>
        <v/>
      </c>
      <c r="Q13"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13" s="97" t="str">
        <f t="shared" si="3"/>
        <v>Water</v>
      </c>
      <c r="T13" s="98" t="str">
        <f t="shared" si="4"/>
        <v>fill in name of country/state in guidance sheet</v>
      </c>
      <c r="U13" s="82">
        <v>5</v>
      </c>
      <c r="V13" s="82" t="s">
        <v>108</v>
      </c>
      <c r="W13" s="103" t="str">
        <f>IFERROR(VLOOKUP(Results_HCF_national[[#This Row],[Indicator]],tblNational_HCF[[#All],[Code]:[Index]],7,0),"")</f>
        <v/>
      </c>
    </row>
    <row r="14" spans="1:23" ht="83.5" customHeight="1" x14ac:dyDescent="0.2">
      <c r="A14" s="12" t="str">
        <f t="shared" si="0"/>
        <v>fill in name of country/state in guidance sheet</v>
      </c>
      <c r="B14" s="12">
        <f t="shared" si="1"/>
        <v>2026</v>
      </c>
      <c r="C14" s="12" t="s">
        <v>92</v>
      </c>
      <c r="D14" s="2" t="str">
        <f t="shared" si="2"/>
        <v>Water</v>
      </c>
      <c r="E14" s="72" t="s">
        <v>100</v>
      </c>
      <c r="F14" s="72"/>
      <c r="G14" s="72"/>
      <c r="H14" s="12">
        <v>9</v>
      </c>
      <c r="I14" s="11" t="str">
        <f>IF(tblNational_HCF[[#This Row],[Code]]&gt;9.99,LEFT(tblNational_HCF[[#This Row],[Code]],2),LEFT(tblNational_HCF[[#This Row],[Code]],1))</f>
        <v>2</v>
      </c>
      <c r="J14" s="74" t="s">
        <v>102</v>
      </c>
      <c r="K14" s="76">
        <v>2.4</v>
      </c>
      <c r="L14" s="92" t="s">
        <v>225</v>
      </c>
      <c r="M14" s="95"/>
      <c r="N14" s="73"/>
      <c r="O14" s="73"/>
      <c r="P14" s="120" t="str">
        <f>IFERROR(VLOOKUP(tblNational_HCF[[#This Row],[Rating]],Guidance!$A$11:$C$15,3,0),"")</f>
        <v/>
      </c>
      <c r="Q14" s="116"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14" s="97" t="str">
        <f t="shared" si="3"/>
        <v>Water</v>
      </c>
      <c r="T14" s="98" t="str">
        <f t="shared" si="4"/>
        <v>fill in name of country/state in guidance sheet</v>
      </c>
      <c r="U14" s="82">
        <v>6</v>
      </c>
      <c r="V14" s="82" t="s">
        <v>110</v>
      </c>
      <c r="W14" s="103" t="str">
        <f>IFERROR(VLOOKUP(Results_HCF_national[[#This Row],[Indicator]],tblNational_HCF[[#All],[Code]:[Index]],7,0),"")</f>
        <v/>
      </c>
    </row>
    <row r="15" spans="1:23" ht="83.5" customHeight="1" x14ac:dyDescent="0.2">
      <c r="A15" s="12" t="str">
        <f t="shared" si="0"/>
        <v>fill in name of country/state in guidance sheet</v>
      </c>
      <c r="B15" s="12">
        <f t="shared" si="1"/>
        <v>2026</v>
      </c>
      <c r="C15" s="12" t="s">
        <v>86</v>
      </c>
      <c r="D15" s="2" t="str">
        <f t="shared" si="2"/>
        <v>Water</v>
      </c>
      <c r="E15" s="72"/>
      <c r="F15" s="72"/>
      <c r="G15" s="72"/>
      <c r="H15" s="12">
        <v>10</v>
      </c>
      <c r="I15" s="11" t="str">
        <f>IF(tblNational_HCF[[#This Row],[Code]]&gt;9.99,LEFT(tblNational_HCF[[#This Row],[Code]],2),LEFT(tblNational_HCF[[#This Row],[Code]],1))</f>
        <v>3</v>
      </c>
      <c r="J15" s="133" t="s">
        <v>115</v>
      </c>
      <c r="K15" s="139">
        <v>3</v>
      </c>
      <c r="L15" s="134" t="s">
        <v>196</v>
      </c>
      <c r="M15" s="123"/>
      <c r="N15" s="126"/>
      <c r="O15" s="126"/>
      <c r="P15" s="124" t="str">
        <f>IFERROR(VLOOKUP(tblNational_HCF[[#This Row],[Rating]],Guidance!$A$11:$C$15,3,0),"")</f>
        <v/>
      </c>
      <c r="Q15"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15" s="97" t="str">
        <f t="shared" si="3"/>
        <v>Water</v>
      </c>
      <c r="T15" s="98" t="str">
        <f t="shared" si="4"/>
        <v>fill in name of country/state in guidance sheet</v>
      </c>
      <c r="U15" s="82">
        <v>7</v>
      </c>
      <c r="V15" s="82" t="s">
        <v>112</v>
      </c>
      <c r="W15" s="103" t="str">
        <f>IFERROR(VLOOKUP(Results_HCF_national[[#This Row],[Indicator]],tblNational_HCF[[#All],[Code]:[Index]],7,0),"")</f>
        <v/>
      </c>
    </row>
    <row r="16" spans="1:23" ht="83.5" customHeight="1" x14ac:dyDescent="0.2">
      <c r="A16" s="12" t="str">
        <f t="shared" si="0"/>
        <v>fill in name of country/state in guidance sheet</v>
      </c>
      <c r="B16" s="12">
        <f t="shared" si="1"/>
        <v>2026</v>
      </c>
      <c r="C16" s="12" t="s">
        <v>92</v>
      </c>
      <c r="D16" s="2" t="str">
        <f t="shared" si="2"/>
        <v>Water</v>
      </c>
      <c r="E16" s="72"/>
      <c r="F16" s="72"/>
      <c r="G16" s="72"/>
      <c r="H16" s="12">
        <v>11</v>
      </c>
      <c r="I16" s="11" t="str">
        <f>IF(tblNational_HCF[[#This Row],[Code]]&gt;9.99,LEFT(tblNational_HCF[[#This Row],[Code]],2),LEFT(tblNational_HCF[[#This Row],[Code]],1))</f>
        <v>3</v>
      </c>
      <c r="J16" s="74" t="s">
        <v>115</v>
      </c>
      <c r="K16" s="76">
        <v>3.1</v>
      </c>
      <c r="L16" s="80" t="s">
        <v>226</v>
      </c>
      <c r="M16" s="95"/>
      <c r="N16" s="73"/>
      <c r="O16" s="73"/>
      <c r="P16" s="129" t="str">
        <f>IFERROR(VLOOKUP(tblNational_HCF[[#This Row],[Rating]],Guidance!$A$11:$C$15,3,0),"")</f>
        <v/>
      </c>
      <c r="Q16" s="117"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16" s="97" t="str">
        <f t="shared" si="3"/>
        <v>Water</v>
      </c>
      <c r="T16" s="98" t="str">
        <f t="shared" si="4"/>
        <v>fill in name of country/state in guidance sheet</v>
      </c>
      <c r="U16" s="82">
        <v>8</v>
      </c>
      <c r="V16" s="82" t="s">
        <v>114</v>
      </c>
      <c r="W16" s="103" t="str">
        <f>IFERROR(VLOOKUP(Results_HCF_national[[#This Row],[Indicator]],tblNational_HCF[[#All],[Code]:[Index]],7,0),"")</f>
        <v/>
      </c>
    </row>
    <row r="17" spans="1:23" ht="83.5" customHeight="1" x14ac:dyDescent="0.2">
      <c r="A17" s="12" t="str">
        <f t="shared" si="0"/>
        <v>fill in name of country/state in guidance sheet</v>
      </c>
      <c r="B17" s="12">
        <f t="shared" si="1"/>
        <v>2026</v>
      </c>
      <c r="C17" s="12" t="s">
        <v>92</v>
      </c>
      <c r="D17" s="2" t="str">
        <f t="shared" si="2"/>
        <v>Water</v>
      </c>
      <c r="E17" s="72"/>
      <c r="F17" s="72"/>
      <c r="G17" s="72"/>
      <c r="H17" s="12">
        <v>12</v>
      </c>
      <c r="I17" s="11" t="str">
        <f>IF(tblNational_HCF[[#This Row],[Code]]&gt;9.99,LEFT(tblNational_HCF[[#This Row],[Code]],2),LEFT(tblNational_HCF[[#This Row],[Code]],1))</f>
        <v>3</v>
      </c>
      <c r="J17" s="74" t="s">
        <v>115</v>
      </c>
      <c r="K17" s="76">
        <v>3.2</v>
      </c>
      <c r="L17" s="80" t="s">
        <v>227</v>
      </c>
      <c r="M17" s="95"/>
      <c r="N17" s="73"/>
      <c r="O17" s="73"/>
      <c r="P17" s="119" t="str">
        <f>IFERROR(VLOOKUP(tblNational_HCF[[#This Row],[Rating]],Guidance!$A$11:$C$15,3,0),"")</f>
        <v/>
      </c>
      <c r="Q17"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17" s="97" t="str">
        <f t="shared" si="3"/>
        <v>Water</v>
      </c>
      <c r="T17" s="98" t="str">
        <f t="shared" si="4"/>
        <v>fill in name of country/state in guidance sheet</v>
      </c>
      <c r="U17" s="82">
        <v>9</v>
      </c>
      <c r="V17" s="82" t="s">
        <v>117</v>
      </c>
      <c r="W17" s="103" t="str">
        <f>IFERROR(VLOOKUP(Results_HCF_national[[#This Row],[Indicator]],tblNational_HCF[[#All],[Code]:[Index]],7,0),"")</f>
        <v/>
      </c>
    </row>
    <row r="18" spans="1:23" ht="83.5" customHeight="1" x14ac:dyDescent="0.2">
      <c r="A18" s="12" t="str">
        <f t="shared" si="0"/>
        <v>fill in name of country/state in guidance sheet</v>
      </c>
      <c r="B18" s="12">
        <f t="shared" si="1"/>
        <v>2026</v>
      </c>
      <c r="C18" s="12" t="s">
        <v>92</v>
      </c>
      <c r="D18" s="2" t="str">
        <f t="shared" si="2"/>
        <v>Water</v>
      </c>
      <c r="E18" s="72"/>
      <c r="F18" s="72"/>
      <c r="G18" s="72"/>
      <c r="H18" s="12">
        <v>13</v>
      </c>
      <c r="I18" s="11" t="str">
        <f>IF(tblNational_HCF[[#This Row],[Code]]&gt;9.99,LEFT(tblNational_HCF[[#This Row],[Code]],2),LEFT(tblNational_HCF[[#This Row],[Code]],1))</f>
        <v>3</v>
      </c>
      <c r="J18" s="74" t="s">
        <v>115</v>
      </c>
      <c r="K18" s="76">
        <v>3.3</v>
      </c>
      <c r="L18" s="77" t="s">
        <v>123</v>
      </c>
      <c r="M18" s="95"/>
      <c r="N18" s="111"/>
      <c r="O18" s="112"/>
      <c r="P18" s="119" t="str">
        <f>IFERROR(VLOOKUP(tblNational_HCF[[#This Row],[Rating]],Guidance!$A$11:$C$15,3,0),"")</f>
        <v/>
      </c>
      <c r="Q18"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18" s="97" t="str">
        <f t="shared" si="3"/>
        <v>Water</v>
      </c>
      <c r="T18" s="98" t="str">
        <f t="shared" si="4"/>
        <v>fill in name of country/state in guidance sheet</v>
      </c>
      <c r="U18" s="82">
        <v>10</v>
      </c>
      <c r="V18" s="82" t="s">
        <v>119</v>
      </c>
      <c r="W18" s="103" t="str">
        <f>IFERROR(VLOOKUP(Results_HCF_national[[#This Row],[Indicator]],tblNational_HCF[[#All],[Code]:[Index]],7,0),"")</f>
        <v/>
      </c>
    </row>
    <row r="19" spans="1:23" ht="83.5" customHeight="1" x14ac:dyDescent="0.2">
      <c r="A19" s="12" t="str">
        <f t="shared" si="0"/>
        <v>fill in name of country/state in guidance sheet</v>
      </c>
      <c r="B19" s="12">
        <f t="shared" si="1"/>
        <v>2026</v>
      </c>
      <c r="C19" s="12" t="s">
        <v>86</v>
      </c>
      <c r="D19" s="2" t="str">
        <f t="shared" si="2"/>
        <v>Water</v>
      </c>
      <c r="E19" s="72"/>
      <c r="F19" s="72"/>
      <c r="G19" s="72"/>
      <c r="H19" s="12">
        <v>14</v>
      </c>
      <c r="I19" s="11" t="str">
        <f>IF(tblNational_HCF[[#This Row],[Code]]&gt;9.99,LEFT(tblNational_HCF[[#This Row],[Code]],2),LEFT(tblNational_HCF[[#This Row],[Code]],1))</f>
        <v>4</v>
      </c>
      <c r="J19" s="133" t="s">
        <v>106</v>
      </c>
      <c r="K19" s="139">
        <v>4</v>
      </c>
      <c r="L19" s="135" t="s">
        <v>125</v>
      </c>
      <c r="M19" s="123"/>
      <c r="N19" s="126"/>
      <c r="O19" s="126"/>
      <c r="P19" s="124" t="str">
        <f>IFERROR(VLOOKUP(tblNational_HCF[[#This Row],[Rating]],Guidance!$A$11:$C$15,3,0),"")</f>
        <v/>
      </c>
      <c r="Q19"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S19" s="97" t="s">
        <v>121</v>
      </c>
      <c r="T19" s="98"/>
      <c r="U19" s="102" t="s">
        <v>122</v>
      </c>
      <c r="V19" s="102" t="s">
        <v>122</v>
      </c>
      <c r="W19" s="103" t="str">
        <f>IFERROR(SUBTOTAL(101,Results_HCF_national[Index]),"")</f>
        <v/>
      </c>
    </row>
    <row r="20" spans="1:23" ht="83.5" customHeight="1" x14ac:dyDescent="0.2">
      <c r="A20" s="12" t="str">
        <f t="shared" si="0"/>
        <v>fill in name of country/state in guidance sheet</v>
      </c>
      <c r="B20" s="12">
        <f t="shared" si="1"/>
        <v>2026</v>
      </c>
      <c r="C20" s="12" t="s">
        <v>92</v>
      </c>
      <c r="D20" s="2" t="str">
        <f t="shared" si="2"/>
        <v>Water</v>
      </c>
      <c r="E20" s="72"/>
      <c r="F20" s="72"/>
      <c r="G20" s="72"/>
      <c r="H20" s="12">
        <v>15</v>
      </c>
      <c r="I20" s="11" t="str">
        <f>IF(tblNational_HCF[[#This Row],[Code]]&gt;9.99,LEFT(tblNational_HCF[[#This Row],[Code]],2),LEFT(tblNational_HCF[[#This Row],[Code]],1))</f>
        <v>4</v>
      </c>
      <c r="J20" s="74" t="s">
        <v>106</v>
      </c>
      <c r="K20" s="76">
        <v>4.0999999999999996</v>
      </c>
      <c r="L20" s="80" t="s">
        <v>228</v>
      </c>
      <c r="M20" s="95"/>
      <c r="N20" s="73"/>
      <c r="O20" s="73"/>
      <c r="P20" s="130" t="str">
        <f>IFERROR(VLOOKUP(tblNational_HCF[[#This Row],[Rating]],Guidance!$A$11:$C$15,3,0),"")</f>
        <v/>
      </c>
      <c r="Q20" s="117"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20"/>
      <c r="V20"/>
      <c r="W20"/>
    </row>
    <row r="21" spans="1:23" ht="83.5" customHeight="1" x14ac:dyDescent="0.2">
      <c r="A21" s="12" t="str">
        <f t="shared" si="0"/>
        <v>fill in name of country/state in guidance sheet</v>
      </c>
      <c r="B21" s="12">
        <f t="shared" si="1"/>
        <v>2026</v>
      </c>
      <c r="C21" s="12" t="s">
        <v>92</v>
      </c>
      <c r="D21" s="2" t="str">
        <f t="shared" si="2"/>
        <v>Water</v>
      </c>
      <c r="E21" s="72"/>
      <c r="F21" s="72" t="s">
        <v>100</v>
      </c>
      <c r="G21" s="72"/>
      <c r="H21" s="12">
        <v>16</v>
      </c>
      <c r="I21" s="11" t="str">
        <f>IF(tblNational_HCF[[#This Row],[Code]]&gt;9.99,LEFT(tblNational_HCF[[#This Row],[Code]],2),LEFT(tblNational_HCF[[#This Row],[Code]],1))</f>
        <v>4</v>
      </c>
      <c r="J21" s="74" t="s">
        <v>106</v>
      </c>
      <c r="K21" s="76">
        <v>4.2</v>
      </c>
      <c r="L21" s="81" t="s">
        <v>229</v>
      </c>
      <c r="M21" s="95"/>
      <c r="N21" s="73"/>
      <c r="O21" s="73"/>
      <c r="P21" s="114" t="str">
        <f>IFERROR(VLOOKUP(tblNational_HCF[[#This Row],[Rating]],Guidance!$A$11:$C$15,3,0),"")</f>
        <v/>
      </c>
      <c r="Q21"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21"/>
      <c r="V21"/>
      <c r="W21"/>
    </row>
    <row r="22" spans="1:23" ht="83.5" customHeight="1" x14ac:dyDescent="0.2">
      <c r="A22" s="12" t="str">
        <f t="shared" si="0"/>
        <v>fill in name of country/state in guidance sheet</v>
      </c>
      <c r="B22" s="12">
        <f t="shared" si="1"/>
        <v>2026</v>
      </c>
      <c r="C22" s="12" t="s">
        <v>92</v>
      </c>
      <c r="D22" s="2" t="str">
        <f t="shared" si="2"/>
        <v>Water</v>
      </c>
      <c r="E22" s="72"/>
      <c r="F22" s="72" t="s">
        <v>100</v>
      </c>
      <c r="G22" s="72"/>
      <c r="H22" s="12">
        <v>17</v>
      </c>
      <c r="I22" s="11" t="str">
        <f>IF(tblNational_HCF[[#This Row],[Code]]&gt;9.99,LEFT(tblNational_HCF[[#This Row],[Code]],2),LEFT(tblNational_HCF[[#This Row],[Code]],1))</f>
        <v>4</v>
      </c>
      <c r="J22" s="74" t="s">
        <v>106</v>
      </c>
      <c r="K22" s="76">
        <v>4.3</v>
      </c>
      <c r="L22" s="77" t="s">
        <v>230</v>
      </c>
      <c r="M22" s="95"/>
      <c r="N22" s="111"/>
      <c r="O22" s="112"/>
      <c r="P22" s="114" t="str">
        <f>IFERROR(VLOOKUP(tblNational_HCF[[#This Row],[Rating]],Guidance!$A$11:$C$15,3,0),"")</f>
        <v/>
      </c>
      <c r="Q22"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22"/>
      <c r="V22"/>
      <c r="W22"/>
    </row>
    <row r="23" spans="1:23" ht="83.5" customHeight="1" x14ac:dyDescent="0.2">
      <c r="A23" s="12" t="str">
        <f t="shared" si="0"/>
        <v>fill in name of country/state in guidance sheet</v>
      </c>
      <c r="B23" s="12">
        <f t="shared" si="1"/>
        <v>2026</v>
      </c>
      <c r="C23" s="12" t="s">
        <v>92</v>
      </c>
      <c r="D23" s="2" t="str">
        <f t="shared" si="2"/>
        <v>Water</v>
      </c>
      <c r="E23" s="72"/>
      <c r="F23" s="72" t="s">
        <v>100</v>
      </c>
      <c r="G23" s="72" t="s">
        <v>100</v>
      </c>
      <c r="H23" s="12">
        <v>18</v>
      </c>
      <c r="I23" s="11" t="str">
        <f>IF(tblNational_HCF[[#This Row],[Code]]&gt;9.99,LEFT(tblNational_HCF[[#This Row],[Code]],2),LEFT(tblNational_HCF[[#This Row],[Code]],1))</f>
        <v>4</v>
      </c>
      <c r="J23" s="74" t="s">
        <v>106</v>
      </c>
      <c r="K23" s="78">
        <v>4.4000000000000004</v>
      </c>
      <c r="L23" s="79" t="s">
        <v>231</v>
      </c>
      <c r="M23" s="95"/>
      <c r="N23" s="73"/>
      <c r="O23" s="73"/>
      <c r="P23" s="114" t="str">
        <f>IFERROR(VLOOKUP(tblNational_HCF[[#This Row],[Rating]],Guidance!$A$11:$C$15,3,0),"")</f>
        <v/>
      </c>
      <c r="Q23"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23"/>
      <c r="V23"/>
      <c r="W23"/>
    </row>
    <row r="24" spans="1:23" ht="83.5" customHeight="1" x14ac:dyDescent="0.2">
      <c r="A24" s="12" t="str">
        <f t="shared" si="0"/>
        <v>fill in name of country/state in guidance sheet</v>
      </c>
      <c r="B24" s="12">
        <f t="shared" si="1"/>
        <v>2026</v>
      </c>
      <c r="C24" s="12" t="s">
        <v>92</v>
      </c>
      <c r="D24" s="2" t="str">
        <f t="shared" si="2"/>
        <v>Water</v>
      </c>
      <c r="E24" s="72"/>
      <c r="F24" s="72" t="s">
        <v>100</v>
      </c>
      <c r="G24" s="72"/>
      <c r="H24" s="12">
        <v>19</v>
      </c>
      <c r="I24" s="11" t="str">
        <f>IF(tblNational_HCF[[#This Row],[Code]]&gt;9.99,LEFT(tblNational_HCF[[#This Row],[Code]],2),LEFT(tblNational_HCF[[#This Row],[Code]],1))</f>
        <v>4</v>
      </c>
      <c r="J24" s="74" t="s">
        <v>106</v>
      </c>
      <c r="K24" s="76">
        <v>4.5</v>
      </c>
      <c r="L24" s="80" t="s">
        <v>232</v>
      </c>
      <c r="M24" s="95"/>
      <c r="N24" s="73"/>
      <c r="O24" s="73"/>
      <c r="P24" s="114" t="str">
        <f>IFERROR(VLOOKUP(tblNational_HCF[[#This Row],[Rating]],Guidance!$A$11:$C$15,3,0),"")</f>
        <v/>
      </c>
      <c r="Q24"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24"/>
      <c r="V24"/>
      <c r="W24"/>
    </row>
    <row r="25" spans="1:23" ht="83.5" customHeight="1" x14ac:dyDescent="0.2">
      <c r="A25" s="12" t="str">
        <f t="shared" si="0"/>
        <v>fill in name of country/state in guidance sheet</v>
      </c>
      <c r="B25" s="12">
        <f t="shared" si="1"/>
        <v>2026</v>
      </c>
      <c r="C25" s="12" t="s">
        <v>92</v>
      </c>
      <c r="D25" s="2" t="str">
        <f t="shared" si="2"/>
        <v>Water</v>
      </c>
      <c r="E25" s="72"/>
      <c r="F25" s="72"/>
      <c r="G25" s="72" t="s">
        <v>100</v>
      </c>
      <c r="H25" s="12">
        <v>20</v>
      </c>
      <c r="I25" s="11" t="str">
        <f>IF(tblNational_HCF[[#This Row],[Code]]&gt;9.99,LEFT(tblNational_HCF[[#This Row],[Code]],2),LEFT(tblNational_HCF[[#This Row],[Code]],1))</f>
        <v>4</v>
      </c>
      <c r="J25" s="74" t="s">
        <v>106</v>
      </c>
      <c r="K25" s="78">
        <v>4.5999999999999996</v>
      </c>
      <c r="L25" s="91" t="s">
        <v>132</v>
      </c>
      <c r="M25" s="95"/>
      <c r="N25" s="73"/>
      <c r="O25" s="73"/>
      <c r="P25" s="114" t="str">
        <f>IFERROR(VLOOKUP(tblNational_HCF[[#This Row],[Rating]],Guidance!$A$11:$C$15,3,0),"")</f>
        <v/>
      </c>
      <c r="Q25"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25"/>
      <c r="V25"/>
      <c r="W25"/>
    </row>
    <row r="26" spans="1:23" ht="83.5" customHeight="1" x14ac:dyDescent="0.2">
      <c r="A26" s="12" t="str">
        <f t="shared" si="0"/>
        <v>fill in name of country/state in guidance sheet</v>
      </c>
      <c r="B26" s="12">
        <f t="shared" si="1"/>
        <v>2026</v>
      </c>
      <c r="C26" s="12" t="s">
        <v>92</v>
      </c>
      <c r="D26" s="2" t="str">
        <f t="shared" si="2"/>
        <v>Water</v>
      </c>
      <c r="E26" s="72" t="s">
        <v>100</v>
      </c>
      <c r="F26" s="72"/>
      <c r="G26" s="72"/>
      <c r="H26" s="12">
        <v>21</v>
      </c>
      <c r="I26" s="11" t="str">
        <f>IF(tblNational_HCF[[#This Row],[Code]]&gt;9.99,LEFT(tblNational_HCF[[#This Row],[Code]],2),LEFT(tblNational_HCF[[#This Row],[Code]],1))</f>
        <v>4</v>
      </c>
      <c r="J26" s="74" t="s">
        <v>106</v>
      </c>
      <c r="K26" s="76">
        <v>4.7</v>
      </c>
      <c r="L26" s="80" t="s">
        <v>233</v>
      </c>
      <c r="M26" s="95"/>
      <c r="N26" s="73"/>
      <c r="O26" s="73"/>
      <c r="P26" s="114" t="str">
        <f>IFERROR(VLOOKUP(tblNational_HCF[[#This Row],[Rating]],Guidance!$A$11:$C$15,3,0),"")</f>
        <v/>
      </c>
      <c r="Q26"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26"/>
      <c r="V26"/>
      <c r="W26"/>
    </row>
    <row r="27" spans="1:23" ht="83.5" customHeight="1" x14ac:dyDescent="0.2">
      <c r="A27" s="12" t="str">
        <f t="shared" si="0"/>
        <v>fill in name of country/state in guidance sheet</v>
      </c>
      <c r="B27" s="12">
        <f t="shared" si="1"/>
        <v>2026</v>
      </c>
      <c r="C27" s="12" t="s">
        <v>86</v>
      </c>
      <c r="D27" s="2" t="str">
        <f t="shared" si="2"/>
        <v>Water</v>
      </c>
      <c r="E27" s="72"/>
      <c r="F27" s="72"/>
      <c r="G27" s="72"/>
      <c r="H27" s="12">
        <v>22</v>
      </c>
      <c r="I27" s="11" t="str">
        <f>IF(tblNational_HCF[[#This Row],[Code]]&gt;9.99,LEFT(tblNational_HCF[[#This Row],[Code]],2),LEFT(tblNational_HCF[[#This Row],[Code]],1))</f>
        <v>5</v>
      </c>
      <c r="J27" s="133" t="s">
        <v>135</v>
      </c>
      <c r="K27" s="139">
        <v>5</v>
      </c>
      <c r="L27" s="134" t="s">
        <v>136</v>
      </c>
      <c r="M27" s="123"/>
      <c r="N27" s="126"/>
      <c r="O27" s="126"/>
      <c r="P27" s="124" t="str">
        <f>IFERROR(VLOOKUP(tblNational_HCF[[#This Row],[Rating]],Guidance!$A$11:$C$15,3,0),"")</f>
        <v/>
      </c>
      <c r="Q27"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27"/>
      <c r="V27"/>
      <c r="W27"/>
    </row>
    <row r="28" spans="1:23" ht="83.5" customHeight="1" x14ac:dyDescent="0.2">
      <c r="A28" s="12" t="str">
        <f t="shared" si="0"/>
        <v>fill in name of country/state in guidance sheet</v>
      </c>
      <c r="B28" s="12">
        <f t="shared" si="1"/>
        <v>2026</v>
      </c>
      <c r="C28" s="12" t="s">
        <v>92</v>
      </c>
      <c r="D28" s="2" t="str">
        <f t="shared" si="2"/>
        <v>Water</v>
      </c>
      <c r="E28" s="72"/>
      <c r="F28" s="72" t="s">
        <v>100</v>
      </c>
      <c r="G28" s="72"/>
      <c r="H28" s="12">
        <v>23</v>
      </c>
      <c r="I28" s="11" t="str">
        <f>IF(tblNational_HCF[[#This Row],[Code]]&gt;9.99,LEFT(tblNational_HCF[[#This Row],[Code]],2),LEFT(tblNational_HCF[[#This Row],[Code]],1))</f>
        <v>5</v>
      </c>
      <c r="J28" s="74" t="s">
        <v>135</v>
      </c>
      <c r="K28" s="78">
        <v>5.0999999999999996</v>
      </c>
      <c r="L28" s="80" t="s">
        <v>234</v>
      </c>
      <c r="M28" s="95"/>
      <c r="N28" s="73"/>
      <c r="O28" s="73"/>
      <c r="P28" s="128" t="str">
        <f>IFERROR(VLOOKUP(tblNational_HCF[[#This Row],[Rating]],Guidance!$A$11:$C$15,3,0),"")</f>
        <v/>
      </c>
      <c r="Q28"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28"/>
      <c r="V28"/>
      <c r="W28"/>
    </row>
    <row r="29" spans="1:23" ht="83.5" customHeight="1" x14ac:dyDescent="0.2">
      <c r="A29" s="12" t="str">
        <f t="shared" si="0"/>
        <v>fill in name of country/state in guidance sheet</v>
      </c>
      <c r="B29" s="12">
        <f t="shared" si="1"/>
        <v>2026</v>
      </c>
      <c r="C29" s="12" t="s">
        <v>92</v>
      </c>
      <c r="D29" s="2" t="str">
        <f t="shared" si="2"/>
        <v>Water</v>
      </c>
      <c r="E29" s="72"/>
      <c r="F29" s="72"/>
      <c r="G29" s="72"/>
      <c r="H29" s="12">
        <v>24</v>
      </c>
      <c r="I29" s="11" t="str">
        <f>IF(tblNational_HCF[[#This Row],[Code]]&gt;9.99,LEFT(tblNational_HCF[[#This Row],[Code]],2),LEFT(tblNational_HCF[[#This Row],[Code]],1))</f>
        <v>5</v>
      </c>
      <c r="J29" s="74" t="s">
        <v>135</v>
      </c>
      <c r="K29" s="76">
        <v>5.2</v>
      </c>
      <c r="L29" s="79" t="s">
        <v>206</v>
      </c>
      <c r="M29" s="95"/>
      <c r="N29" s="73"/>
      <c r="O29" s="73"/>
      <c r="P29" s="118" t="str">
        <f>IFERROR(VLOOKUP(tblNational_HCF[[#This Row],[Rating]],Guidance!$A$11:$C$15,3,0),"")</f>
        <v/>
      </c>
      <c r="Q29"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29"/>
      <c r="V29"/>
      <c r="W29"/>
    </row>
    <row r="30" spans="1:23" ht="83.5" customHeight="1" x14ac:dyDescent="0.2">
      <c r="A30" s="12" t="str">
        <f t="shared" si="0"/>
        <v>fill in name of country/state in guidance sheet</v>
      </c>
      <c r="B30" s="12">
        <f t="shared" si="1"/>
        <v>2026</v>
      </c>
      <c r="C30" s="12" t="s">
        <v>92</v>
      </c>
      <c r="D30" s="2" t="str">
        <f t="shared" si="2"/>
        <v>Water</v>
      </c>
      <c r="E30" s="72"/>
      <c r="F30" s="72"/>
      <c r="G30" s="72"/>
      <c r="H30" s="12">
        <v>25</v>
      </c>
      <c r="I30" s="11" t="str">
        <f>IF(tblNational_HCF[[#This Row],[Code]]&gt;9.99,LEFT(tblNational_HCF[[#This Row],[Code]],2),LEFT(tblNational_HCF[[#This Row],[Code]],1))</f>
        <v>5</v>
      </c>
      <c r="J30" s="74" t="s">
        <v>135</v>
      </c>
      <c r="K30" s="76">
        <v>5.3</v>
      </c>
      <c r="L30" s="77" t="s">
        <v>139</v>
      </c>
      <c r="M30" s="95"/>
      <c r="N30" s="111"/>
      <c r="O30" s="112"/>
      <c r="P30" s="118" t="str">
        <f>IFERROR(VLOOKUP(tblNational_HCF[[#This Row],[Rating]],Guidance!$A$11:$C$15,3,0),"")</f>
        <v/>
      </c>
      <c r="Q30"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30"/>
      <c r="V30"/>
      <c r="W30"/>
    </row>
    <row r="31" spans="1:23" ht="83.5" customHeight="1" x14ac:dyDescent="0.2">
      <c r="A31" s="12" t="str">
        <f t="shared" si="0"/>
        <v>fill in name of country/state in guidance sheet</v>
      </c>
      <c r="B31" s="12">
        <f t="shared" si="1"/>
        <v>2026</v>
      </c>
      <c r="C31" s="12" t="s">
        <v>92</v>
      </c>
      <c r="D31" s="2" t="str">
        <f t="shared" si="2"/>
        <v>Water</v>
      </c>
      <c r="E31" s="72"/>
      <c r="F31" s="72"/>
      <c r="G31" s="72" t="s">
        <v>100</v>
      </c>
      <c r="H31" s="12">
        <v>26</v>
      </c>
      <c r="I31" s="11" t="str">
        <f>IF(tblNational_HCF[[#This Row],[Code]]&gt;9.99,LEFT(tblNational_HCF[[#This Row],[Code]],2),LEFT(tblNational_HCF[[#This Row],[Code]],1))</f>
        <v>5</v>
      </c>
      <c r="J31" s="74" t="s">
        <v>135</v>
      </c>
      <c r="K31" s="76">
        <v>5.4</v>
      </c>
      <c r="L31" s="80" t="s">
        <v>235</v>
      </c>
      <c r="M31" s="95"/>
      <c r="N31" s="73"/>
      <c r="O31" s="73"/>
      <c r="P31" s="118" t="str">
        <f>IFERROR(VLOOKUP(tblNational_HCF[[#This Row],[Rating]],Guidance!$A$11:$C$15,3,0),"")</f>
        <v/>
      </c>
      <c r="Q31"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31"/>
      <c r="V31"/>
      <c r="W31"/>
    </row>
    <row r="32" spans="1:23" ht="83.5" customHeight="1" x14ac:dyDescent="0.2">
      <c r="A32" s="12" t="str">
        <f t="shared" si="0"/>
        <v>fill in name of country/state in guidance sheet</v>
      </c>
      <c r="B32" s="12">
        <f t="shared" si="1"/>
        <v>2026</v>
      </c>
      <c r="C32" s="12" t="s">
        <v>92</v>
      </c>
      <c r="D32" s="2" t="str">
        <f t="shared" si="2"/>
        <v>Water</v>
      </c>
      <c r="E32" s="72"/>
      <c r="F32" s="72"/>
      <c r="G32" s="72" t="s">
        <v>100</v>
      </c>
      <c r="H32" s="12">
        <v>27</v>
      </c>
      <c r="I32" s="11" t="str">
        <f>IF(tblNational_HCF[[#This Row],[Code]]&gt;9.99,LEFT(tblNational_HCF[[#This Row],[Code]],2),LEFT(tblNational_HCF[[#This Row],[Code]],1))</f>
        <v>5</v>
      </c>
      <c r="J32" s="74" t="s">
        <v>135</v>
      </c>
      <c r="K32" s="76">
        <v>5.5</v>
      </c>
      <c r="L32" s="81" t="s">
        <v>141</v>
      </c>
      <c r="M32" s="95"/>
      <c r="N32" s="73"/>
      <c r="O32" s="73"/>
      <c r="P32" s="118" t="str">
        <f>IFERROR(VLOOKUP(tblNational_HCF[[#This Row],[Rating]],Guidance!$A$11:$C$15,3,0),"")</f>
        <v/>
      </c>
      <c r="Q32"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32"/>
      <c r="V32"/>
      <c r="W32"/>
    </row>
    <row r="33" spans="1:23" ht="83.5" customHeight="1" x14ac:dyDescent="0.2">
      <c r="A33" s="12" t="str">
        <f t="shared" si="0"/>
        <v>fill in name of country/state in guidance sheet</v>
      </c>
      <c r="B33" s="12">
        <f t="shared" si="1"/>
        <v>2026</v>
      </c>
      <c r="C33" s="12" t="s">
        <v>92</v>
      </c>
      <c r="D33" s="2" t="str">
        <f t="shared" si="2"/>
        <v>Water</v>
      </c>
      <c r="E33" s="72" t="s">
        <v>100</v>
      </c>
      <c r="F33" s="72"/>
      <c r="G33" s="72"/>
      <c r="H33" s="12">
        <v>28</v>
      </c>
      <c r="I33" s="11" t="str">
        <f>IF(tblNational_HCF[[#This Row],[Code]]&gt;9.99,LEFT(tblNational_HCF[[#This Row],[Code]],2),LEFT(tblNational_HCF[[#This Row],[Code]],1))</f>
        <v>5</v>
      </c>
      <c r="J33" s="74" t="s">
        <v>135</v>
      </c>
      <c r="K33" s="76">
        <v>5.6</v>
      </c>
      <c r="L33" s="79" t="s">
        <v>236</v>
      </c>
      <c r="M33" s="95"/>
      <c r="N33" s="73"/>
      <c r="O33" s="73"/>
      <c r="P33" s="120" t="str">
        <f>IFERROR(VLOOKUP(tblNational_HCF[[#This Row],[Rating]],Guidance!$A$11:$C$15,3,0),"")</f>
        <v/>
      </c>
      <c r="Q33" s="116"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33"/>
      <c r="V33"/>
      <c r="W33"/>
    </row>
    <row r="34" spans="1:23" ht="83.5" customHeight="1" x14ac:dyDescent="0.2">
      <c r="A34" s="12" t="str">
        <f t="shared" si="0"/>
        <v>fill in name of country/state in guidance sheet</v>
      </c>
      <c r="B34" s="12">
        <f t="shared" si="1"/>
        <v>2026</v>
      </c>
      <c r="C34" s="12" t="s">
        <v>86</v>
      </c>
      <c r="D34" s="2" t="str">
        <f t="shared" si="2"/>
        <v>Water</v>
      </c>
      <c r="E34" s="72"/>
      <c r="F34" s="72"/>
      <c r="G34" s="72"/>
      <c r="H34" s="12">
        <v>29</v>
      </c>
      <c r="I34" s="11" t="str">
        <f>IF(tblNational_HCF[[#This Row],[Code]]&gt;9.99,LEFT(tblNational_HCF[[#This Row],[Code]],2),LEFT(tblNational_HCF[[#This Row],[Code]],1))</f>
        <v>6</v>
      </c>
      <c r="J34" s="133" t="s">
        <v>110</v>
      </c>
      <c r="K34" s="139">
        <v>6</v>
      </c>
      <c r="L34" s="134" t="s">
        <v>143</v>
      </c>
      <c r="M34" s="123"/>
      <c r="N34" s="126"/>
      <c r="O34" s="126"/>
      <c r="P34" s="124" t="str">
        <f>IFERROR(VLOOKUP(tblNational_HCF[[#This Row],[Rating]],Guidance!$A$11:$C$15,3,0),"")</f>
        <v/>
      </c>
      <c r="Q34"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34"/>
      <c r="V34"/>
      <c r="W34"/>
    </row>
    <row r="35" spans="1:23" ht="83.5" customHeight="1" x14ac:dyDescent="0.2">
      <c r="A35" s="12" t="str">
        <f t="shared" si="0"/>
        <v>fill in name of country/state in guidance sheet</v>
      </c>
      <c r="B35" s="12">
        <f t="shared" si="1"/>
        <v>2026</v>
      </c>
      <c r="C35" s="12" t="s">
        <v>92</v>
      </c>
      <c r="D35" s="2" t="str">
        <f t="shared" si="2"/>
        <v>Water</v>
      </c>
      <c r="E35" s="72"/>
      <c r="F35" s="72"/>
      <c r="G35" s="72"/>
      <c r="H35" s="12">
        <v>30</v>
      </c>
      <c r="I35" s="11" t="str">
        <f>IF(tblNational_HCF[[#This Row],[Code]]&gt;9.99,LEFT(tblNational_HCF[[#This Row],[Code]],2),LEFT(tblNational_HCF[[#This Row],[Code]],1))</f>
        <v>6</v>
      </c>
      <c r="J35" s="74" t="s">
        <v>110</v>
      </c>
      <c r="K35" s="76">
        <v>6.1</v>
      </c>
      <c r="L35" s="81" t="s">
        <v>237</v>
      </c>
      <c r="M35" s="95"/>
      <c r="N35" s="73"/>
      <c r="O35" s="73"/>
      <c r="P35" s="129" t="str">
        <f>IFERROR(VLOOKUP(tblNational_HCF[[#This Row],[Rating]],Guidance!$A$11:$C$15,3,0),"")</f>
        <v/>
      </c>
      <c r="Q35" s="117"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35"/>
      <c r="V35"/>
      <c r="W35"/>
    </row>
    <row r="36" spans="1:23" ht="83.5" customHeight="1" x14ac:dyDescent="0.2">
      <c r="A36" s="12" t="str">
        <f t="shared" si="0"/>
        <v>fill in name of country/state in guidance sheet</v>
      </c>
      <c r="B36" s="12">
        <f t="shared" si="1"/>
        <v>2026</v>
      </c>
      <c r="C36" s="12" t="s">
        <v>92</v>
      </c>
      <c r="D36" s="2" t="str">
        <f t="shared" si="2"/>
        <v>Water</v>
      </c>
      <c r="E36" s="72"/>
      <c r="F36" s="72"/>
      <c r="G36" s="72"/>
      <c r="H36" s="12">
        <v>31</v>
      </c>
      <c r="I36" s="11" t="str">
        <f>IF(tblNational_HCF[[#This Row],[Code]]&gt;9.99,LEFT(tblNational_HCF[[#This Row],[Code]],2),LEFT(tblNational_HCF[[#This Row],[Code]],1))</f>
        <v>6</v>
      </c>
      <c r="J36" s="74" t="s">
        <v>110</v>
      </c>
      <c r="K36" s="76">
        <v>6.2</v>
      </c>
      <c r="L36" s="80" t="s">
        <v>145</v>
      </c>
      <c r="M36" s="95"/>
      <c r="N36" s="73"/>
      <c r="O36" s="73"/>
      <c r="P36" s="119" t="str">
        <f>IFERROR(VLOOKUP(tblNational_HCF[[#This Row],[Rating]],Guidance!$A$11:$C$15,3,0),"")</f>
        <v/>
      </c>
      <c r="Q36"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36"/>
      <c r="V36"/>
      <c r="W36"/>
    </row>
    <row r="37" spans="1:23" ht="83.5" customHeight="1" x14ac:dyDescent="0.2">
      <c r="A37" s="12" t="str">
        <f t="shared" si="0"/>
        <v>fill in name of country/state in guidance sheet</v>
      </c>
      <c r="B37" s="12">
        <f t="shared" si="1"/>
        <v>2026</v>
      </c>
      <c r="C37" s="12" t="s">
        <v>92</v>
      </c>
      <c r="D37" s="2" t="str">
        <f t="shared" si="2"/>
        <v>Water</v>
      </c>
      <c r="E37" s="72"/>
      <c r="F37" s="72"/>
      <c r="G37" s="72"/>
      <c r="H37" s="12">
        <v>32</v>
      </c>
      <c r="I37" s="11" t="str">
        <f>IF(tblNational_HCF[[#This Row],[Code]]&gt;9.99,LEFT(tblNational_HCF[[#This Row],[Code]],2),LEFT(tblNational_HCF[[#This Row],[Code]],1))</f>
        <v>6</v>
      </c>
      <c r="J37" s="74" t="s">
        <v>110</v>
      </c>
      <c r="K37" s="76">
        <v>6.3</v>
      </c>
      <c r="L37" s="77" t="s">
        <v>238</v>
      </c>
      <c r="M37" s="95"/>
      <c r="N37" s="111"/>
      <c r="O37" s="112"/>
      <c r="P37" s="119" t="str">
        <f>IFERROR(VLOOKUP(tblNational_HCF[[#This Row],[Rating]],Guidance!$A$11:$C$15,3,0),"")</f>
        <v/>
      </c>
      <c r="Q37"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37"/>
      <c r="V37"/>
      <c r="W37"/>
    </row>
    <row r="38" spans="1:23" ht="83.5" customHeight="1" x14ac:dyDescent="0.2">
      <c r="A38" s="12" t="str">
        <f t="shared" ref="A38:A60" si="5">IF($O$1="Fill in Name","National",$O$1)</f>
        <v>fill in name of country/state in guidance sheet</v>
      </c>
      <c r="B38" s="12">
        <f t="shared" ref="B38:B60" si="6">Year</f>
        <v>2026</v>
      </c>
      <c r="C38" s="12" t="s">
        <v>92</v>
      </c>
      <c r="D38" s="2" t="str">
        <f t="shared" ref="D38:D60" si="7">$O$2</f>
        <v>Water</v>
      </c>
      <c r="E38" s="72"/>
      <c r="F38" s="72"/>
      <c r="G38" s="72"/>
      <c r="H38" s="12">
        <v>33</v>
      </c>
      <c r="I38" s="11" t="str">
        <f>IF(tblNational_HCF[[#This Row],[Code]]&gt;9.99,LEFT(tblNational_HCF[[#This Row],[Code]],2),LEFT(tblNational_HCF[[#This Row],[Code]],1))</f>
        <v>6</v>
      </c>
      <c r="J38" s="74" t="s">
        <v>110</v>
      </c>
      <c r="K38" s="76">
        <v>6.4</v>
      </c>
      <c r="L38" s="79" t="s">
        <v>239</v>
      </c>
      <c r="M38" s="95"/>
      <c r="N38" s="73"/>
      <c r="O38" s="73"/>
      <c r="P38" s="119" t="str">
        <f>IFERROR(VLOOKUP(tblNational_HCF[[#This Row],[Rating]],Guidance!$A$11:$C$15,3,0),"")</f>
        <v/>
      </c>
      <c r="Q38"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38"/>
      <c r="V38"/>
      <c r="W38"/>
    </row>
    <row r="39" spans="1:23" ht="83.5" customHeight="1" x14ac:dyDescent="0.2">
      <c r="A39" s="12" t="str">
        <f t="shared" si="5"/>
        <v>fill in name of country/state in guidance sheet</v>
      </c>
      <c r="B39" s="12">
        <f t="shared" si="6"/>
        <v>2026</v>
      </c>
      <c r="C39" s="12" t="s">
        <v>92</v>
      </c>
      <c r="D39" s="2" t="str">
        <f t="shared" si="7"/>
        <v>Water</v>
      </c>
      <c r="E39" s="72"/>
      <c r="F39" s="72"/>
      <c r="G39" s="72"/>
      <c r="H39" s="12">
        <v>34</v>
      </c>
      <c r="I39" s="11" t="str">
        <f>IF(tblNational_HCF[[#This Row],[Code]]&gt;9.99,LEFT(tblNational_HCF[[#This Row],[Code]],2),LEFT(tblNational_HCF[[#This Row],[Code]],1))</f>
        <v>6</v>
      </c>
      <c r="J39" s="74" t="s">
        <v>110</v>
      </c>
      <c r="K39" s="78">
        <v>6.5</v>
      </c>
      <c r="L39" s="79" t="s">
        <v>148</v>
      </c>
      <c r="M39" s="95"/>
      <c r="N39" s="73"/>
      <c r="O39" s="73"/>
      <c r="P39" s="119" t="str">
        <f>IFERROR(VLOOKUP(tblNational_HCF[[#This Row],[Rating]],Guidance!$A$11:$C$15,3,0),"")</f>
        <v/>
      </c>
      <c r="Q39"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39"/>
      <c r="V39"/>
      <c r="W39"/>
    </row>
    <row r="40" spans="1:23" ht="83.5" customHeight="1" x14ac:dyDescent="0.2">
      <c r="A40" s="12" t="str">
        <f t="shared" si="5"/>
        <v>fill in name of country/state in guidance sheet</v>
      </c>
      <c r="B40" s="12">
        <f t="shared" si="6"/>
        <v>2026</v>
      </c>
      <c r="C40" s="12" t="s">
        <v>92</v>
      </c>
      <c r="D40" s="2" t="str">
        <f t="shared" si="7"/>
        <v>Water</v>
      </c>
      <c r="E40" s="72"/>
      <c r="F40" s="72"/>
      <c r="G40" s="72" t="s">
        <v>100</v>
      </c>
      <c r="H40" s="12">
        <v>35</v>
      </c>
      <c r="I40" s="11" t="str">
        <f>IF(tblNational_HCF[[#This Row],[Code]]&gt;9.99,LEFT(tblNational_HCF[[#This Row],[Code]],2),LEFT(tblNational_HCF[[#This Row],[Code]],1))</f>
        <v>6</v>
      </c>
      <c r="J40" s="74" t="s">
        <v>110</v>
      </c>
      <c r="K40" s="76">
        <v>6.6</v>
      </c>
      <c r="L40" s="91" t="s">
        <v>240</v>
      </c>
      <c r="M40" s="95"/>
      <c r="N40" s="73"/>
      <c r="O40" s="73"/>
      <c r="P40" s="119" t="str">
        <f>IFERROR(VLOOKUP(tblNational_HCF[[#This Row],[Rating]],Guidance!$A$11:$C$15,3,0),"")</f>
        <v/>
      </c>
      <c r="Q40"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40"/>
      <c r="V40"/>
      <c r="W40"/>
    </row>
    <row r="41" spans="1:23" ht="83.5" customHeight="1" x14ac:dyDescent="0.2">
      <c r="A41" s="12" t="str">
        <f t="shared" si="5"/>
        <v>fill in name of country/state in guidance sheet</v>
      </c>
      <c r="B41" s="12">
        <f t="shared" si="6"/>
        <v>2026</v>
      </c>
      <c r="C41" s="12" t="s">
        <v>86</v>
      </c>
      <c r="D41" s="2" t="str">
        <f t="shared" si="7"/>
        <v>Water</v>
      </c>
      <c r="E41" s="72"/>
      <c r="F41" s="72"/>
      <c r="G41" s="72"/>
      <c r="H41" s="12">
        <v>36</v>
      </c>
      <c r="I41" s="11" t="str">
        <f>IF(tblNational_HCF[[#This Row],[Code]]&gt;9.99,LEFT(tblNational_HCF[[#This Row],[Code]],2),LEFT(tblNational_HCF[[#This Row],[Code]],1))</f>
        <v>7</v>
      </c>
      <c r="J41" s="133" t="s">
        <v>112</v>
      </c>
      <c r="K41" s="139">
        <v>7</v>
      </c>
      <c r="L41" s="134" t="s">
        <v>151</v>
      </c>
      <c r="M41" s="123"/>
      <c r="N41" s="126"/>
      <c r="O41" s="126"/>
      <c r="P41" s="124" t="str">
        <f>IFERROR(VLOOKUP(tblNational_HCF[[#This Row],[Rating]],Guidance!$A$11:$C$15,3,0),"")</f>
        <v/>
      </c>
      <c r="Q41"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41"/>
      <c r="V41"/>
      <c r="W41"/>
    </row>
    <row r="42" spans="1:23" ht="83.5" customHeight="1" x14ac:dyDescent="0.2">
      <c r="A42" s="12" t="str">
        <f t="shared" si="5"/>
        <v>fill in name of country/state in guidance sheet</v>
      </c>
      <c r="B42" s="12">
        <f t="shared" si="6"/>
        <v>2026</v>
      </c>
      <c r="C42" s="12" t="s">
        <v>92</v>
      </c>
      <c r="D42" s="2" t="str">
        <f t="shared" si="7"/>
        <v>Water</v>
      </c>
      <c r="E42" s="72"/>
      <c r="F42" s="72" t="s">
        <v>100</v>
      </c>
      <c r="G42" s="72"/>
      <c r="H42" s="12">
        <v>37</v>
      </c>
      <c r="I42" s="11" t="str">
        <f>IF(tblNational_HCF[[#This Row],[Code]]&gt;9.99,LEFT(tblNational_HCF[[#This Row],[Code]],2),LEFT(tblNational_HCF[[#This Row],[Code]],1))</f>
        <v>7</v>
      </c>
      <c r="J42" s="74" t="s">
        <v>112</v>
      </c>
      <c r="K42" s="78">
        <v>7.1</v>
      </c>
      <c r="L42" s="80" t="s">
        <v>241</v>
      </c>
      <c r="M42" s="95"/>
      <c r="N42" s="73"/>
      <c r="O42" s="73"/>
      <c r="P42" s="129" t="str">
        <f>IFERROR(VLOOKUP(tblNational_HCF[[#This Row],[Rating]],Guidance!$A$11:$C$15,3,0),"")</f>
        <v/>
      </c>
      <c r="Q42"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42"/>
      <c r="V42"/>
      <c r="W42"/>
    </row>
    <row r="43" spans="1:23" ht="83.5" customHeight="1" x14ac:dyDescent="0.2">
      <c r="A43" s="12" t="str">
        <f t="shared" si="5"/>
        <v>fill in name of country/state in guidance sheet</v>
      </c>
      <c r="B43" s="12">
        <f t="shared" si="6"/>
        <v>2026</v>
      </c>
      <c r="C43" s="12" t="s">
        <v>92</v>
      </c>
      <c r="D43" s="2" t="str">
        <f t="shared" si="7"/>
        <v>Water</v>
      </c>
      <c r="E43" s="72"/>
      <c r="F43" s="72"/>
      <c r="G43" s="72"/>
      <c r="H43" s="12">
        <v>38</v>
      </c>
      <c r="I43" s="11" t="str">
        <f>IF(tblNational_HCF[[#This Row],[Code]]&gt;9.99,LEFT(tblNational_HCF[[#This Row],[Code]],2),LEFT(tblNational_HCF[[#This Row],[Code]],1))</f>
        <v>7</v>
      </c>
      <c r="J43" s="74" t="s">
        <v>112</v>
      </c>
      <c r="K43" s="76">
        <v>7.2</v>
      </c>
      <c r="L43" s="80" t="s">
        <v>242</v>
      </c>
      <c r="M43" s="95"/>
      <c r="N43" s="73"/>
      <c r="O43" s="73"/>
      <c r="P43" s="119" t="str">
        <f>IFERROR(VLOOKUP(tblNational_HCF[[#This Row],[Rating]],Guidance!$A$11:$C$15,3,0),"")</f>
        <v/>
      </c>
      <c r="Q43"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43"/>
      <c r="V43"/>
      <c r="W43"/>
    </row>
    <row r="44" spans="1:23" ht="83.5" customHeight="1" x14ac:dyDescent="0.2">
      <c r="A44" s="12" t="str">
        <f t="shared" si="5"/>
        <v>fill in name of country/state in guidance sheet</v>
      </c>
      <c r="B44" s="12">
        <f t="shared" si="6"/>
        <v>2026</v>
      </c>
      <c r="C44" s="12" t="s">
        <v>92</v>
      </c>
      <c r="D44" s="2" t="str">
        <f t="shared" si="7"/>
        <v>Water</v>
      </c>
      <c r="E44" s="72"/>
      <c r="F44" s="72"/>
      <c r="G44" s="72"/>
      <c r="H44" s="12">
        <v>39</v>
      </c>
      <c r="I44" s="11" t="str">
        <f>IF(tblNational_HCF[[#This Row],[Code]]&gt;9.99,LEFT(tblNational_HCF[[#This Row],[Code]],2),LEFT(tblNational_HCF[[#This Row],[Code]],1))</f>
        <v>7</v>
      </c>
      <c r="J44" s="74" t="s">
        <v>112</v>
      </c>
      <c r="K44" s="76">
        <v>7.3</v>
      </c>
      <c r="L44" s="77" t="s">
        <v>154</v>
      </c>
      <c r="M44" s="95"/>
      <c r="N44" s="111"/>
      <c r="O44" s="112"/>
      <c r="P44" s="119" t="str">
        <f>IFERROR(VLOOKUP(tblNational_HCF[[#This Row],[Rating]],Guidance!$A$11:$C$15,3,0),"")</f>
        <v/>
      </c>
      <c r="Q44"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44"/>
      <c r="V44"/>
      <c r="W44"/>
    </row>
    <row r="45" spans="1:23" ht="83.5" customHeight="1" x14ac:dyDescent="0.2">
      <c r="A45" s="12" t="str">
        <f t="shared" si="5"/>
        <v>fill in name of country/state in guidance sheet</v>
      </c>
      <c r="B45" s="12">
        <f t="shared" si="6"/>
        <v>2026</v>
      </c>
      <c r="C45" s="12" t="s">
        <v>92</v>
      </c>
      <c r="D45" s="2" t="str">
        <f t="shared" si="7"/>
        <v>Water</v>
      </c>
      <c r="E45" s="72"/>
      <c r="F45" s="72"/>
      <c r="G45" s="72" t="s">
        <v>100</v>
      </c>
      <c r="H45" s="12">
        <v>40</v>
      </c>
      <c r="I45" s="11" t="str">
        <f>IF(tblNational_HCF[[#This Row],[Code]]&gt;9.99,LEFT(tblNational_HCF[[#This Row],[Code]],2),LEFT(tblNational_HCF[[#This Row],[Code]],1))</f>
        <v>7</v>
      </c>
      <c r="J45" s="74" t="s">
        <v>112</v>
      </c>
      <c r="K45" s="76">
        <v>7.4</v>
      </c>
      <c r="L45" s="81" t="s">
        <v>243</v>
      </c>
      <c r="M45" s="95"/>
      <c r="N45" s="73"/>
      <c r="O45" s="73"/>
      <c r="P45" s="119" t="str">
        <f>IFERROR(VLOOKUP(tblNational_HCF[[#This Row],[Rating]],Guidance!$A$11:$C$15,3,0),"")</f>
        <v/>
      </c>
      <c r="Q45"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45"/>
      <c r="V45"/>
      <c r="W45"/>
    </row>
    <row r="46" spans="1:23" ht="83.5" customHeight="1" x14ac:dyDescent="0.2">
      <c r="A46" s="12" t="str">
        <f t="shared" si="5"/>
        <v>fill in name of country/state in guidance sheet</v>
      </c>
      <c r="B46" s="12">
        <f t="shared" si="6"/>
        <v>2026</v>
      </c>
      <c r="C46" s="12" t="s">
        <v>92</v>
      </c>
      <c r="D46" s="2" t="str">
        <f t="shared" si="7"/>
        <v>Water</v>
      </c>
      <c r="E46" s="72" t="s">
        <v>100</v>
      </c>
      <c r="F46" s="72"/>
      <c r="G46" s="72"/>
      <c r="H46" s="12">
        <v>41</v>
      </c>
      <c r="I46" s="11" t="str">
        <f>IF(tblNational_HCF[[#This Row],[Code]]&gt;9.99,LEFT(tblNational_HCF[[#This Row],[Code]],2),LEFT(tblNational_HCF[[#This Row],[Code]],1))</f>
        <v>7</v>
      </c>
      <c r="J46" s="74" t="s">
        <v>112</v>
      </c>
      <c r="K46" s="76">
        <v>7.5</v>
      </c>
      <c r="L46" s="110" t="s">
        <v>156</v>
      </c>
      <c r="M46" s="95"/>
      <c r="N46" s="73"/>
      <c r="O46" s="73"/>
      <c r="P46" s="121" t="str">
        <f>IFERROR(VLOOKUP(tblNational_HCF[[#This Row],[Rating]],Guidance!$A$11:$C$15,3,0),"")</f>
        <v/>
      </c>
      <c r="Q46"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46"/>
      <c r="V46"/>
      <c r="W46"/>
    </row>
    <row r="47" spans="1:23" ht="83.5" customHeight="1" x14ac:dyDescent="0.2">
      <c r="A47" s="12" t="str">
        <f t="shared" si="5"/>
        <v>fill in name of country/state in guidance sheet</v>
      </c>
      <c r="B47" s="12">
        <f t="shared" si="6"/>
        <v>2026</v>
      </c>
      <c r="C47" s="12" t="s">
        <v>86</v>
      </c>
      <c r="D47" s="2" t="str">
        <f t="shared" si="7"/>
        <v>Water</v>
      </c>
      <c r="E47" s="72"/>
      <c r="F47" s="72"/>
      <c r="G47" s="72"/>
      <c r="H47" s="12">
        <v>42</v>
      </c>
      <c r="I47" s="11" t="str">
        <f>IF(tblNational_HCF[[#This Row],[Code]]&gt;9.99,LEFT(tblNational_HCF[[#This Row],[Code]],2),LEFT(tblNational_HCF[[#This Row],[Code]],1))</f>
        <v>8</v>
      </c>
      <c r="J47" s="133" t="s">
        <v>157</v>
      </c>
      <c r="K47" s="139">
        <v>8</v>
      </c>
      <c r="L47" s="134" t="s">
        <v>158</v>
      </c>
      <c r="M47" s="123"/>
      <c r="N47" s="126"/>
      <c r="O47" s="126"/>
      <c r="P47" s="124" t="str">
        <f>IFERROR(VLOOKUP(tblNational_HCF[[#This Row],[Rating]],Guidance!$A$11:$C$15,3,0),"")</f>
        <v/>
      </c>
      <c r="Q47"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47"/>
      <c r="V47"/>
      <c r="W47"/>
    </row>
    <row r="48" spans="1:23" ht="83.5" customHeight="1" x14ac:dyDescent="0.2">
      <c r="A48" s="12" t="str">
        <f t="shared" si="5"/>
        <v>fill in name of country/state in guidance sheet</v>
      </c>
      <c r="B48" s="12">
        <f t="shared" si="6"/>
        <v>2026</v>
      </c>
      <c r="C48" s="12" t="s">
        <v>92</v>
      </c>
      <c r="D48" s="2" t="str">
        <f t="shared" si="7"/>
        <v>Water</v>
      </c>
      <c r="E48" s="72"/>
      <c r="F48" s="72"/>
      <c r="G48" s="72"/>
      <c r="H48" s="12">
        <v>43</v>
      </c>
      <c r="I48" s="11" t="str">
        <f>IF(tblNational_HCF[[#This Row],[Code]]&gt;9.99,LEFT(tblNational_HCF[[#This Row],[Code]],2),LEFT(tblNational_HCF[[#This Row],[Code]],1))</f>
        <v>8</v>
      </c>
      <c r="J48" s="74" t="s">
        <v>157</v>
      </c>
      <c r="K48" s="76">
        <v>8.1</v>
      </c>
      <c r="L48" s="80" t="s">
        <v>244</v>
      </c>
      <c r="M48" s="95"/>
      <c r="N48" s="73"/>
      <c r="O48" s="73"/>
      <c r="P48" s="129" t="str">
        <f>IFERROR(VLOOKUP(tblNational_HCF[[#This Row],[Rating]],Guidance!$A$11:$C$15,3,0),"")</f>
        <v/>
      </c>
      <c r="Q48" s="117"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48"/>
      <c r="V48"/>
      <c r="W48"/>
    </row>
    <row r="49" spans="1:23" ht="83.5" customHeight="1" x14ac:dyDescent="0.2">
      <c r="A49" s="12" t="str">
        <f t="shared" si="5"/>
        <v>fill in name of country/state in guidance sheet</v>
      </c>
      <c r="B49" s="12">
        <f t="shared" si="6"/>
        <v>2026</v>
      </c>
      <c r="C49" s="12" t="s">
        <v>92</v>
      </c>
      <c r="D49" s="2" t="str">
        <f t="shared" si="7"/>
        <v>Water</v>
      </c>
      <c r="E49" s="72"/>
      <c r="F49" s="72"/>
      <c r="G49" s="72"/>
      <c r="H49" s="12">
        <v>44</v>
      </c>
      <c r="I49" s="11" t="str">
        <f>IF(tblNational_HCF[[#This Row],[Code]]&gt;9.99,LEFT(tblNational_HCF[[#This Row],[Code]],2),LEFT(tblNational_HCF[[#This Row],[Code]],1))</f>
        <v>8</v>
      </c>
      <c r="J49" s="74" t="s">
        <v>157</v>
      </c>
      <c r="K49" s="76">
        <v>8.1999999999999993</v>
      </c>
      <c r="L49" s="80" t="s">
        <v>245</v>
      </c>
      <c r="M49" s="95"/>
      <c r="N49" s="73"/>
      <c r="O49" s="73"/>
      <c r="P49" s="119" t="str">
        <f>IFERROR(VLOOKUP(tblNational_HCF[[#This Row],[Rating]],Guidance!$A$11:$C$15,3,0),"")</f>
        <v/>
      </c>
      <c r="Q49"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49"/>
      <c r="V49"/>
      <c r="W49"/>
    </row>
    <row r="50" spans="1:23" ht="83.5" customHeight="1" x14ac:dyDescent="0.2">
      <c r="A50" s="12" t="str">
        <f t="shared" si="5"/>
        <v>fill in name of country/state in guidance sheet</v>
      </c>
      <c r="B50" s="12">
        <f t="shared" si="6"/>
        <v>2026</v>
      </c>
      <c r="C50" s="12" t="s">
        <v>92</v>
      </c>
      <c r="D50" s="2" t="str">
        <f t="shared" si="7"/>
        <v>Water</v>
      </c>
      <c r="E50" s="72"/>
      <c r="F50" s="72"/>
      <c r="G50" s="72"/>
      <c r="H50" s="12">
        <v>45</v>
      </c>
      <c r="I50" s="11" t="str">
        <f>IF(tblNational_HCF[[#This Row],[Code]]&gt;9.99,LEFT(tblNational_HCF[[#This Row],[Code]],2),LEFT(tblNational_HCF[[#This Row],[Code]],1))</f>
        <v>8</v>
      </c>
      <c r="J50" s="74" t="s">
        <v>157</v>
      </c>
      <c r="K50" s="76">
        <v>8.3000000000000007</v>
      </c>
      <c r="L50" s="77" t="s">
        <v>246</v>
      </c>
      <c r="M50" s="95"/>
      <c r="N50" s="111"/>
      <c r="O50" s="112"/>
      <c r="P50" s="119" t="str">
        <f>IFERROR(VLOOKUP(tblNational_HCF[[#This Row],[Rating]],Guidance!$A$11:$C$15,3,0),"")</f>
        <v/>
      </c>
      <c r="Q50"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50"/>
      <c r="V50"/>
      <c r="W50"/>
    </row>
    <row r="51" spans="1:23" ht="83.5" customHeight="1" x14ac:dyDescent="0.2">
      <c r="A51" s="12" t="str">
        <f t="shared" si="5"/>
        <v>fill in name of country/state in guidance sheet</v>
      </c>
      <c r="B51" s="12">
        <f t="shared" si="6"/>
        <v>2026</v>
      </c>
      <c r="C51" s="12" t="s">
        <v>92</v>
      </c>
      <c r="D51" s="2" t="str">
        <f t="shared" si="7"/>
        <v>Water</v>
      </c>
      <c r="E51" s="72"/>
      <c r="F51" s="72"/>
      <c r="G51" s="72"/>
      <c r="H51" s="12">
        <v>46</v>
      </c>
      <c r="I51" s="11" t="str">
        <f>IF(tblNational_HCF[[#This Row],[Code]]&gt;9.99,LEFT(tblNational_HCF[[#This Row],[Code]],2),LEFT(tblNational_HCF[[#This Row],[Code]],1))</f>
        <v>8</v>
      </c>
      <c r="J51" s="74" t="s">
        <v>157</v>
      </c>
      <c r="K51" s="76">
        <v>8.4</v>
      </c>
      <c r="L51" s="80" t="s">
        <v>247</v>
      </c>
      <c r="M51" s="95"/>
      <c r="N51" s="73"/>
      <c r="O51" s="73"/>
      <c r="P51" s="119" t="str">
        <f>IFERROR(VLOOKUP(tblNational_HCF[[#This Row],[Rating]],Guidance!$A$11:$C$15,3,0),"")</f>
        <v/>
      </c>
      <c r="Q51"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51"/>
      <c r="V51"/>
      <c r="W51"/>
    </row>
    <row r="52" spans="1:23" ht="83.5" customHeight="1" x14ac:dyDescent="0.2">
      <c r="A52" s="12" t="str">
        <f t="shared" si="5"/>
        <v>fill in name of country/state in guidance sheet</v>
      </c>
      <c r="B52" s="12">
        <f t="shared" si="6"/>
        <v>2026</v>
      </c>
      <c r="C52" s="12" t="s">
        <v>86</v>
      </c>
      <c r="D52" s="2" t="str">
        <f t="shared" si="7"/>
        <v>Water</v>
      </c>
      <c r="E52" s="72"/>
      <c r="F52" s="72"/>
      <c r="G52" s="72"/>
      <c r="H52" s="12">
        <v>47</v>
      </c>
      <c r="I52" s="11" t="str">
        <f>IF(tblNational_HCF[[#This Row],[Code]]&gt;9.99,LEFT(tblNational_HCF[[#This Row],[Code]],2),LEFT(tblNational_HCF[[#This Row],[Code]],1))</f>
        <v>9</v>
      </c>
      <c r="J52" s="133" t="s">
        <v>165</v>
      </c>
      <c r="K52" s="139">
        <v>9</v>
      </c>
      <c r="L52" s="134" t="s">
        <v>166</v>
      </c>
      <c r="M52" s="123"/>
      <c r="N52" s="126"/>
      <c r="O52" s="126"/>
      <c r="P52" s="124" t="str">
        <f>IFERROR(VLOOKUP(tblNational_HCF[[#This Row],[Rating]],Guidance!$A$11:$C$15,3,0),"")</f>
        <v/>
      </c>
      <c r="Q52"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52"/>
      <c r="V52"/>
      <c r="W52"/>
    </row>
    <row r="53" spans="1:23" ht="83.5" customHeight="1" x14ac:dyDescent="0.2">
      <c r="A53" s="12" t="str">
        <f t="shared" si="5"/>
        <v>fill in name of country/state in guidance sheet</v>
      </c>
      <c r="B53" s="12">
        <f t="shared" si="6"/>
        <v>2026</v>
      </c>
      <c r="C53" s="12" t="s">
        <v>92</v>
      </c>
      <c r="D53" s="2" t="str">
        <f t="shared" si="7"/>
        <v>Water</v>
      </c>
      <c r="E53" s="72"/>
      <c r="F53" s="72" t="s">
        <v>100</v>
      </c>
      <c r="G53" s="72"/>
      <c r="H53" s="12">
        <v>48</v>
      </c>
      <c r="I53" s="11" t="str">
        <f>IF(tblNational_HCF[[#This Row],[Code]]&gt;9.99,LEFT(tblNational_HCF[[#This Row],[Code]],2),LEFT(tblNational_HCF[[#This Row],[Code]],1))</f>
        <v>9</v>
      </c>
      <c r="J53" s="74" t="s">
        <v>165</v>
      </c>
      <c r="K53" s="76">
        <v>9.1</v>
      </c>
      <c r="L53" s="80" t="s">
        <v>248</v>
      </c>
      <c r="M53" s="95"/>
      <c r="N53" s="73"/>
      <c r="O53" s="73"/>
      <c r="P53" s="129" t="str">
        <f>IFERROR(VLOOKUP(tblNational_HCF[[#This Row],[Rating]],Guidance!$A$11:$C$15,3,0),"")</f>
        <v/>
      </c>
      <c r="Q53" s="117"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53"/>
      <c r="V53"/>
      <c r="W53"/>
    </row>
    <row r="54" spans="1:23" ht="83.5" customHeight="1" x14ac:dyDescent="0.2">
      <c r="A54" s="12" t="str">
        <f t="shared" si="5"/>
        <v>fill in name of country/state in guidance sheet</v>
      </c>
      <c r="B54" s="12">
        <f t="shared" si="6"/>
        <v>2026</v>
      </c>
      <c r="C54" s="12" t="s">
        <v>92</v>
      </c>
      <c r="D54" s="2" t="str">
        <f t="shared" si="7"/>
        <v>Water</v>
      </c>
      <c r="E54" s="72" t="s">
        <v>100</v>
      </c>
      <c r="F54" s="72" t="s">
        <v>100</v>
      </c>
      <c r="G54" s="72"/>
      <c r="H54" s="12">
        <v>49</v>
      </c>
      <c r="I54" s="11" t="str">
        <f>IF(tblNational_HCF[[#This Row],[Code]]&gt;9.99,LEFT(tblNational_HCF[[#This Row],[Code]],2),LEFT(tblNational_HCF[[#This Row],[Code]],1))</f>
        <v>9</v>
      </c>
      <c r="J54" s="74" t="s">
        <v>165</v>
      </c>
      <c r="K54" s="76">
        <v>9.1999999999999993</v>
      </c>
      <c r="L54" s="81" t="s">
        <v>249</v>
      </c>
      <c r="M54" s="95"/>
      <c r="N54" s="73"/>
      <c r="O54" s="73"/>
      <c r="P54" s="119" t="str">
        <f>IFERROR(VLOOKUP(tblNational_HCF[[#This Row],[Rating]],Guidance!$A$11:$C$15,3,0),"")</f>
        <v/>
      </c>
      <c r="Q54"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54"/>
      <c r="V54"/>
      <c r="W54"/>
    </row>
    <row r="55" spans="1:23" ht="83.5" customHeight="1" x14ac:dyDescent="0.2">
      <c r="A55" s="12" t="str">
        <f t="shared" si="5"/>
        <v>fill in name of country/state in guidance sheet</v>
      </c>
      <c r="B55" s="12">
        <f t="shared" si="6"/>
        <v>2026</v>
      </c>
      <c r="C55" s="12" t="s">
        <v>92</v>
      </c>
      <c r="D55" s="2" t="str">
        <f t="shared" si="7"/>
        <v>Water</v>
      </c>
      <c r="E55" s="72"/>
      <c r="F55" s="72" t="s">
        <v>100</v>
      </c>
      <c r="G55" s="72"/>
      <c r="H55" s="12">
        <v>50</v>
      </c>
      <c r="I55" s="11" t="str">
        <f>IF(tblNational_HCF[[#This Row],[Code]]&gt;9.99,LEFT(tblNational_HCF[[#This Row],[Code]],2),LEFT(tblNational_HCF[[#This Row],[Code]],1))</f>
        <v>9</v>
      </c>
      <c r="J55" s="74" t="s">
        <v>165</v>
      </c>
      <c r="K55" s="109">
        <v>9.3000000000000007</v>
      </c>
      <c r="L55" s="77" t="s">
        <v>250</v>
      </c>
      <c r="M55" s="95"/>
      <c r="N55" s="111"/>
      <c r="O55" s="112"/>
      <c r="P55" s="119" t="str">
        <f>IFERROR(VLOOKUP(tblNational_HCF[[#This Row],[Rating]],Guidance!$A$11:$C$15,3,0),"")</f>
        <v/>
      </c>
      <c r="Q55" s="11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55"/>
      <c r="V55"/>
      <c r="W55"/>
    </row>
    <row r="56" spans="1:23" ht="83.5" customHeight="1" x14ac:dyDescent="0.2">
      <c r="A56" s="12" t="str">
        <f t="shared" si="5"/>
        <v>fill in name of country/state in guidance sheet</v>
      </c>
      <c r="B56" s="12">
        <f t="shared" si="6"/>
        <v>2026</v>
      </c>
      <c r="C56" s="12" t="s">
        <v>86</v>
      </c>
      <c r="D56" s="2" t="str">
        <f t="shared" si="7"/>
        <v>Water</v>
      </c>
      <c r="E56" s="72"/>
      <c r="F56" s="72"/>
      <c r="G56" s="72"/>
      <c r="H56" s="12">
        <v>51</v>
      </c>
      <c r="I56" s="11" t="str">
        <f>IF(tblNational_HCF[[#This Row],[Code]]&gt;9.99,LEFT(tblNational_HCF[[#This Row],[Code]],2),LEFT(tblNational_HCF[[#This Row],[Code]],1))</f>
        <v>10</v>
      </c>
      <c r="J56" s="133" t="s">
        <v>172</v>
      </c>
      <c r="K56" s="139">
        <v>10</v>
      </c>
      <c r="L56" s="136" t="s">
        <v>173</v>
      </c>
      <c r="M56" s="123"/>
      <c r="N56" s="126"/>
      <c r="O56" s="126"/>
      <c r="P56" s="124" t="str">
        <f>IFERROR(VLOOKUP(tblNational_HCF[[#This Row],[Rating]],Guidance!$A$11:$C$15,3,0),"")</f>
        <v/>
      </c>
      <c r="Q56"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56"/>
      <c r="V56"/>
      <c r="W56"/>
    </row>
    <row r="57" spans="1:23" ht="83.5" customHeight="1" x14ac:dyDescent="0.2">
      <c r="A57" s="12" t="str">
        <f t="shared" si="5"/>
        <v>fill in name of country/state in guidance sheet</v>
      </c>
      <c r="B57" s="12">
        <f t="shared" si="6"/>
        <v>2026</v>
      </c>
      <c r="C57" s="12" t="s">
        <v>92</v>
      </c>
      <c r="D57" s="2" t="str">
        <f t="shared" si="7"/>
        <v>Water</v>
      </c>
      <c r="E57" s="72"/>
      <c r="F57" s="72"/>
      <c r="G57" s="72"/>
      <c r="H57" s="12">
        <v>52</v>
      </c>
      <c r="I57" s="11" t="str">
        <f>IF(tblNational_HCF[[#This Row],[Code]]&gt;9.99,LEFT(tblNational_HCF[[#This Row],[Code]],2),LEFT(tblNational_HCF[[#This Row],[Code]],1))</f>
        <v>10</v>
      </c>
      <c r="J57" s="74" t="s">
        <v>172</v>
      </c>
      <c r="K57" s="76">
        <v>10.1</v>
      </c>
      <c r="L57" s="79" t="s">
        <v>251</v>
      </c>
      <c r="M57" s="95"/>
      <c r="N57" s="73"/>
      <c r="O57" s="73"/>
      <c r="P57" s="129" t="str">
        <f>IFERROR(VLOOKUP(tblNational_HCF[[#This Row],[Rating]],Guidance!$A$11:$C$15,3,0),"")</f>
        <v/>
      </c>
      <c r="Q57" s="117"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57"/>
      <c r="V57"/>
      <c r="W57"/>
    </row>
    <row r="58" spans="1:23" ht="83.5" customHeight="1" x14ac:dyDescent="0.2">
      <c r="A58" s="12" t="str">
        <f t="shared" si="5"/>
        <v>fill in name of country/state in guidance sheet</v>
      </c>
      <c r="B58" s="12">
        <f t="shared" si="6"/>
        <v>2026</v>
      </c>
      <c r="C58" s="12" t="s">
        <v>86</v>
      </c>
      <c r="D58" s="2" t="str">
        <f t="shared" si="7"/>
        <v>Water</v>
      </c>
      <c r="E58" s="12"/>
      <c r="F58" s="12"/>
      <c r="G58" s="12"/>
      <c r="H58" s="12">
        <v>101</v>
      </c>
      <c r="I58" s="11" t="str">
        <f>IF(tblNational_HCF[[#This Row],[Code]]&gt;9.99,LEFT(tblNational_HCF[[#This Row],[Code]],2),LEFT(tblNational_HCF[[#This Row],[Code]],1))</f>
        <v>In</v>
      </c>
      <c r="J58" s="134" t="s">
        <v>179</v>
      </c>
      <c r="K58" s="139" t="s">
        <v>90</v>
      </c>
      <c r="L58" s="134" t="s">
        <v>180</v>
      </c>
      <c r="M58" s="123"/>
      <c r="N58" s="126"/>
      <c r="O58" s="126"/>
      <c r="P58" s="124" t="str">
        <f>IFERROR(VLOOKUP(tblNational_HCF[[#This Row],[Rating]],Guidance!$A$11:$C$15,3,0),"")</f>
        <v/>
      </c>
      <c r="Q58"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58"/>
      <c r="V58"/>
      <c r="W58"/>
    </row>
    <row r="59" spans="1:23" ht="83.5" customHeight="1" x14ac:dyDescent="0.2">
      <c r="A59" s="12" t="str">
        <f t="shared" si="5"/>
        <v>fill in name of country/state in guidance sheet</v>
      </c>
      <c r="B59" s="12">
        <f t="shared" si="6"/>
        <v>2026</v>
      </c>
      <c r="C59" s="12" t="s">
        <v>86</v>
      </c>
      <c r="D59" s="2" t="str">
        <f t="shared" si="7"/>
        <v>Water</v>
      </c>
      <c r="E59" s="12"/>
      <c r="F59" s="12"/>
      <c r="G59" s="12"/>
      <c r="H59" s="12">
        <v>102</v>
      </c>
      <c r="I59" s="11" t="str">
        <f>IF(tblNational_HCF[[#This Row],[Code]]&gt;9.99,LEFT(tblNational_HCF[[#This Row],[Code]],2),LEFT(tblNational_HCF[[#This Row],[Code]],1))</f>
        <v>In</v>
      </c>
      <c r="J59" s="134" t="s">
        <v>181</v>
      </c>
      <c r="K59" s="139" t="s">
        <v>94</v>
      </c>
      <c r="L59" s="137" t="s">
        <v>182</v>
      </c>
      <c r="M59" s="123"/>
      <c r="N59" s="126"/>
      <c r="O59" s="126"/>
      <c r="P59" s="124" t="str">
        <f>IFERROR(VLOOKUP(tblNational_HCF[[#This Row],[Rating]],Guidance!$A$11:$C$15,3,0),"")</f>
        <v/>
      </c>
      <c r="Q59"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59"/>
      <c r="V59"/>
      <c r="W59"/>
    </row>
    <row r="60" spans="1:23" ht="83.5" customHeight="1" x14ac:dyDescent="0.2">
      <c r="A60" s="12" t="str">
        <f t="shared" si="5"/>
        <v>fill in name of country/state in guidance sheet</v>
      </c>
      <c r="B60" s="12">
        <f t="shared" si="6"/>
        <v>2026</v>
      </c>
      <c r="C60" s="12" t="s">
        <v>86</v>
      </c>
      <c r="D60" s="2" t="str">
        <f t="shared" si="7"/>
        <v>Water</v>
      </c>
      <c r="E60" s="12"/>
      <c r="F60" s="12"/>
      <c r="G60" s="12"/>
      <c r="H60" s="12">
        <v>103</v>
      </c>
      <c r="I60" s="11" t="str">
        <f>IF(tblNational_HCF[[#This Row],[Code]]&gt;9.99,LEFT(tblNational_HCF[[#This Row],[Code]],2),LEFT(tblNational_HCF[[#This Row],[Code]],1))</f>
        <v>In</v>
      </c>
      <c r="J60" s="134" t="s">
        <v>183</v>
      </c>
      <c r="K60" s="139" t="s">
        <v>97</v>
      </c>
      <c r="L60" s="136" t="s">
        <v>184</v>
      </c>
      <c r="M60" s="123"/>
      <c r="N60" s="126"/>
      <c r="O60" s="126"/>
      <c r="P60" s="124" t="str">
        <f>IFERROR(VLOOKUP(tblNational_HCF[[#This Row],[Rating]],Guidance!$A$11:$C$15,3,0),"")</f>
        <v/>
      </c>
      <c r="Q60" s="125" t="str">
        <f>IFERROR(
    IF(
        tblNational_HCF[[#This Row],[Code]]="Index Indicator 1",
        AVERAGEIF(tblNational_HCF[Contributing to Index Indicator 1 Climate],"Yes",tblNational_HCF[Indicator Score]),
        IF(
            tblNational_HCF[[#This Row],[Code]]="Index Indicator 2",
            AVERAGEIF(tblNational_HCF[Contributing to Index Indicator 2 Capacity],"Yes",tblNational_HCF[Indicator Score]),
            IF(
                tblNational_HCF[[#This Row],[Code]]="Index Indicator 3",
                AVERAGEIF(tblNational_HCF[Contributes to Index Indicator 3],"Yes",tblNational_HCF[Indicator Score]),
                AVERAGEIF(tblNational_HCF[Outcome- number],tblNational_HCF[[#This Row],[Outcome- number]],tblNational_HCF[Indicator Score])
            )
        )
    ),
"")</f>
        <v/>
      </c>
      <c r="U60"/>
      <c r="V60"/>
      <c r="W60"/>
    </row>
    <row r="61" spans="1:23" ht="83.5" customHeight="1" x14ac:dyDescent="0.2">
      <c r="L61" s="87"/>
      <c r="M61" s="87"/>
      <c r="U61"/>
      <c r="V61"/>
      <c r="W61"/>
    </row>
    <row r="62" spans="1:23" ht="83.5" customHeight="1" x14ac:dyDescent="0.2">
      <c r="L62" s="87"/>
      <c r="M62" s="87"/>
      <c r="U62"/>
      <c r="V62"/>
      <c r="W62"/>
    </row>
    <row r="63" spans="1:23" ht="83.5" customHeight="1" x14ac:dyDescent="0.2">
      <c r="L63" s="87"/>
      <c r="M63" s="87"/>
      <c r="U63"/>
      <c r="V63"/>
      <c r="W63"/>
    </row>
    <row r="64" spans="1:23" ht="83.5" customHeight="1" x14ac:dyDescent="0.2">
      <c r="L64" s="87"/>
      <c r="M64" s="87"/>
      <c r="U64"/>
      <c r="V64"/>
      <c r="W64"/>
    </row>
    <row r="65" spans="12:23" ht="83.5" customHeight="1" x14ac:dyDescent="0.2">
      <c r="L65" s="87"/>
      <c r="M65" s="87"/>
      <c r="U65"/>
      <c r="V65"/>
      <c r="W65"/>
    </row>
    <row r="66" spans="12:23" ht="83.5" customHeight="1" x14ac:dyDescent="0.2">
      <c r="L66" s="87"/>
      <c r="M66" s="87"/>
      <c r="U66"/>
      <c r="V66"/>
      <c r="W66"/>
    </row>
    <row r="67" spans="12:23" ht="83.5" customHeight="1" x14ac:dyDescent="0.2">
      <c r="L67" s="87"/>
      <c r="M67" s="87"/>
      <c r="U67"/>
      <c r="V67"/>
      <c r="W67"/>
    </row>
    <row r="68" spans="12:23" ht="83.5" customHeight="1" x14ac:dyDescent="0.2">
      <c r="L68" s="87"/>
      <c r="M68" s="87"/>
      <c r="U68"/>
      <c r="V68"/>
      <c r="W68"/>
    </row>
    <row r="69" spans="12:23" ht="83.5" customHeight="1" x14ac:dyDescent="0.2">
      <c r="L69" s="87"/>
      <c r="M69" s="87"/>
      <c r="U69"/>
      <c r="V69"/>
      <c r="W69"/>
    </row>
    <row r="70" spans="12:23" ht="83.5" customHeight="1" x14ac:dyDescent="0.2">
      <c r="L70" s="87"/>
      <c r="M70" s="87"/>
      <c r="U70"/>
      <c r="V70"/>
      <c r="W70"/>
    </row>
    <row r="71" spans="12:23" ht="83.5" customHeight="1" x14ac:dyDescent="0.2">
      <c r="L71" s="87"/>
      <c r="M71" s="87"/>
      <c r="U71"/>
      <c r="V71"/>
      <c r="W71"/>
    </row>
    <row r="72" spans="12:23" ht="83.5" customHeight="1" x14ac:dyDescent="0.2">
      <c r="L72" s="87"/>
      <c r="M72" s="87"/>
      <c r="U72"/>
      <c r="V72"/>
      <c r="W72"/>
    </row>
    <row r="73" spans="12:23" ht="83.5" customHeight="1" x14ac:dyDescent="0.2">
      <c r="L73" s="87"/>
      <c r="M73" s="87"/>
    </row>
    <row r="74" spans="12:23" x14ac:dyDescent="0.2">
      <c r="L74" s="87"/>
      <c r="M74" s="87"/>
    </row>
    <row r="75" spans="12:23" x14ac:dyDescent="0.2">
      <c r="L75" s="87"/>
      <c r="M75" s="87"/>
    </row>
    <row r="76" spans="12:23" x14ac:dyDescent="0.2">
      <c r="L76" s="87"/>
      <c r="M76" s="87"/>
    </row>
    <row r="77" spans="12:23" x14ac:dyDescent="0.2">
      <c r="L77" s="87"/>
      <c r="M77" s="87"/>
    </row>
    <row r="78" spans="12:23" x14ac:dyDescent="0.2">
      <c r="L78" s="87"/>
      <c r="M78" s="87"/>
    </row>
    <row r="79" spans="12:23" x14ac:dyDescent="0.2">
      <c r="L79" s="87"/>
      <c r="M79" s="87"/>
    </row>
  </sheetData>
  <sheetProtection algorithmName="SHA-512" hashValue="h3FYh3zycYuLbdPRaS1L+j9q5z46SnduHryKARAcSOXQnPAM4GDeTS1J4GvDKX/FMw83QITxzSLrbKptUiZwxA==" saltValue="iCK7aqydFI2hkJjGBmNJiA==" spinCount="100000" sheet="1" objects="1" scenarios="1" formatCells="0" formatColumns="0" formatRows="0" autoFilter="0"/>
  <protectedRanges>
    <protectedRange sqref="M7:M9 M10:O60" name="Range1"/>
    <protectedRange sqref="O1" name="Range5"/>
  </protectedRanges>
  <conditionalFormatting sqref="M6:O60">
    <cfRule type="containsBlanks" dxfId="57" priority="9">
      <formula>LEN(TRIM(M6))=0</formula>
    </cfRule>
  </conditionalFormatting>
  <conditionalFormatting sqref="M6:P60">
    <cfRule type="expression" dxfId="56" priority="2" stopIfTrue="1">
      <formula>$C6="Calculation"</formula>
    </cfRule>
  </conditionalFormatting>
  <conditionalFormatting sqref="N6:O60">
    <cfRule type="notContainsBlanks" dxfId="55" priority="1">
      <formula>LEN(TRIM(N6))&gt;0</formula>
    </cfRule>
  </conditionalFormatting>
  <conditionalFormatting sqref="P6:P60">
    <cfRule type="cellIs" dxfId="54" priority="3" operator="greaterThan">
      <formula>1</formula>
    </cfRule>
    <cfRule type="cellIs" dxfId="53" priority="4" operator="equal">
      <formula>1</formula>
    </cfRule>
    <cfRule type="cellIs" dxfId="52" priority="5" operator="greaterThanOrEqual">
      <formula>0.75</formula>
    </cfRule>
    <cfRule type="cellIs" dxfId="51" priority="6" operator="greaterThanOrEqual">
      <formula>0.5</formula>
    </cfRule>
    <cfRule type="cellIs" dxfId="50" priority="7" operator="greaterThanOrEqual">
      <formula>0.25</formula>
    </cfRule>
    <cfRule type="cellIs" dxfId="49" priority="8" operator="greaterThanOrEqual">
      <formula>0</formula>
    </cfRule>
  </conditionalFormatting>
  <conditionalFormatting sqref="W6:W19">
    <cfRule type="containsBlanks" dxfId="48" priority="10">
      <formula>LEN(TRIM(W6))=0</formula>
    </cfRule>
    <cfRule type="cellIs" dxfId="47" priority="11" operator="greaterThanOrEqual">
      <formula>1</formula>
    </cfRule>
    <cfRule type="cellIs" dxfId="46" priority="12" operator="greaterThanOrEqual">
      <formula>0.75</formula>
    </cfRule>
    <cfRule type="cellIs" dxfId="45" priority="13" operator="greaterThanOrEqual">
      <formula>0.5</formula>
    </cfRule>
    <cfRule type="cellIs" dxfId="44" priority="14" operator="greaterThanOrEqual">
      <formula>0.25</formula>
    </cfRule>
    <cfRule type="cellIs" dxfId="43" priority="15" operator="greaterThanOrEqual">
      <formula>0</formula>
    </cfRule>
  </conditionalFormatting>
  <dataValidations count="3">
    <dataValidation allowBlank="1" showInputMessage="1" showErrorMessage="1" sqref="M10 M15 M19 M27 M34 M41 M47 M52 M56 M58:M60" xr:uid="{379ABAAF-FDA5-45FB-9743-FF0B721E0105}"/>
    <dataValidation type="list" allowBlank="1" showInputMessage="1" showErrorMessage="1" sqref="D6:D60" xr:uid="{FE9A9526-12C1-4B06-A3AF-59AF0CB9DAA3}">
      <formula1>category</formula1>
    </dataValidation>
    <dataValidation type="list" allowBlank="1" showInputMessage="1" showErrorMessage="1" sqref="E6:G60" xr:uid="{F97B431F-5147-4475-8D16-D40276A91BB7}">
      <formula1>"Yes,No"</formula1>
    </dataValidation>
  </dataValidations>
  <pageMargins left="0.70866141732283472" right="0.70866141732283472" top="0.74803149606299213" bottom="0.74803149606299213" header="0.31496062992125984" footer="0.31496062992125984"/>
  <pageSetup paperSize="9" scale="37" fitToHeight="0" orientation="landscape" r:id="rId1"/>
  <headerFooter>
    <oddFooter>&amp;L&amp;F&amp;C&amp;A&amp;RPage &amp;P of &amp;N</oddFooter>
  </headerFooter>
  <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containsText" priority="16" operator="containsText" id="{3AA7C623-7FF8-4956-B43A-39E9FF8740F2}">
            <xm:f>NOT(ISERROR(SEARCH(Guidance!$A$14,M7)))</xm:f>
            <xm:f>Guidance!$A$14</xm:f>
            <x14:dxf>
              <fill>
                <patternFill>
                  <bgColor rgb="FFFFC000"/>
                </patternFill>
              </fill>
            </x14:dxf>
          </x14:cfRule>
          <x14:cfRule type="containsText" priority="17" operator="containsText" id="{077A16FD-593E-42F6-AD41-FEBA85E17555}">
            <xm:f>NOT(ISERROR(SEARCH(Guidance!$A$13,M7)))</xm:f>
            <xm:f>Guidance!$A$13</xm:f>
            <x14:dxf>
              <fill>
                <patternFill>
                  <bgColor rgb="FFFFFF00"/>
                </patternFill>
              </fill>
            </x14:dxf>
          </x14:cfRule>
          <x14:cfRule type="containsText" priority="18" operator="containsText" id="{A7CE64D1-8054-40BF-A55A-396CEC1A1633}">
            <xm:f>NOT(ISERROR(SEARCH(Guidance!$A$15,M7)))</xm:f>
            <xm:f>Guidance!$A$15</xm:f>
            <x14:dxf>
              <fill>
                <patternFill>
                  <bgColor rgb="FFFF0000"/>
                </patternFill>
              </fill>
            </x14:dxf>
          </x14:cfRule>
          <x14:cfRule type="containsText" priority="19" operator="containsText" id="{AD875F8A-2449-4E70-AA1C-0E3CE87EBBAC}">
            <xm:f>NOT(ISERROR(SEARCH(Guidance!$A$12,M7)))</xm:f>
            <xm:f>Guidance!$A$12</xm:f>
            <x14:dxf>
              <fill>
                <patternFill>
                  <bgColor rgb="FF92D050"/>
                </patternFill>
              </fill>
            </x14:dxf>
          </x14:cfRule>
          <x14:cfRule type="containsText" priority="20" operator="containsText" id="{A1F2A763-9079-4EAA-95D6-DE97A9595783}">
            <xm:f>NOT(ISERROR(SEARCH(Guidance!$A$11,M7)))</xm:f>
            <xm:f>Guidance!$A$11</xm:f>
            <x14:dxf>
              <fill>
                <patternFill>
                  <bgColor rgb="FF00B050"/>
                </patternFill>
              </fill>
            </x14:dxf>
          </x14:cfRule>
          <xm:sqref>M7:M60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111E288-20AC-4686-BE19-65A3104C99B8}">
          <x14:formula1>
            <xm:f>Guidance!$A$11:$A$16</xm:f>
          </x14:formula1>
          <xm:sqref>M7</xm:sqref>
        </x14:dataValidation>
        <x14:dataValidation type="list" allowBlank="1" showInputMessage="1" showErrorMessage="1" xr:uid="{25EF0239-04B4-4D22-B058-1C54754159B5}">
          <x14:formula1>
            <xm:f>Guidance!$A$11:$A$15</xm:f>
          </x14:formula1>
          <xm:sqref>M57 M11:M14 M16:M18 M20:M26 M28:M33 M35:M40 M42:M46 M48:M51 M53:M55 M8:M9</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282C0-495D-49EE-A42D-9D9F706686A0}">
  <sheetPr>
    <tabColor theme="8" tint="-0.499984740745262"/>
    <pageSetUpPr fitToPage="1"/>
  </sheetPr>
  <dimension ref="A1:AE93"/>
  <sheetViews>
    <sheetView showGridLines="0" zoomScale="70" zoomScaleNormal="70" workbookViewId="0">
      <pane xSplit="14" ySplit="5" topLeftCell="O6" activePane="bottomRight" state="frozen"/>
      <selection pane="topRight" activeCell="P1" sqref="P1"/>
      <selection pane="bottomLeft" activeCell="M35" sqref="M35"/>
      <selection pane="bottomRight"/>
    </sheetView>
  </sheetViews>
  <sheetFormatPr baseColWidth="10" defaultColWidth="11.33203125" defaultRowHeight="16" x14ac:dyDescent="0.2"/>
  <cols>
    <col min="1" max="1" width="14.83203125" hidden="1" customWidth="1"/>
    <col min="2" max="2" width="16.1640625" hidden="1" customWidth="1"/>
    <col min="3" max="3" width="13.1640625" hidden="1" customWidth="1"/>
    <col min="4" max="4" width="7.6640625" hidden="1" customWidth="1"/>
    <col min="5" max="5" width="9.83203125" hidden="1" customWidth="1"/>
    <col min="6" max="6" width="9.5" hidden="1" customWidth="1"/>
    <col min="7" max="7" width="5.83203125" hidden="1" customWidth="1"/>
    <col min="8" max="8" width="12.5" hidden="1" customWidth="1"/>
    <col min="9" max="9" width="13.6640625" hidden="1" customWidth="1"/>
    <col min="10" max="10" width="34.33203125" hidden="1" customWidth="1"/>
    <col min="11" max="11" width="23.1640625" style="3" customWidth="1"/>
    <col min="12" max="12" width="22" style="2" customWidth="1"/>
    <col min="13" max="13" width="79.33203125" style="1" customWidth="1"/>
    <col min="14" max="14" width="17.83203125" style="1" customWidth="1"/>
    <col min="15" max="15" width="31.6640625" customWidth="1"/>
    <col min="16" max="16" width="37.33203125" style="1" customWidth="1"/>
    <col min="17" max="17" width="12.6640625" style="3" customWidth="1"/>
    <col min="18" max="18" width="18.83203125" style="3" customWidth="1"/>
    <col min="19" max="19" width="7.1640625" customWidth="1"/>
    <col min="20" max="21" width="11.33203125" hidden="1" customWidth="1"/>
    <col min="22" max="22" width="12.6640625" style="1" customWidth="1"/>
    <col min="23" max="23" width="42" style="1" customWidth="1"/>
    <col min="24" max="24" width="17.33203125" style="3" customWidth="1"/>
    <col min="27" max="27" width="20.5" customWidth="1"/>
    <col min="28" max="28" width="0" hidden="1" customWidth="1"/>
    <col min="30" max="30" width="19" customWidth="1"/>
    <col min="31" max="31" width="0" hidden="1" customWidth="1"/>
  </cols>
  <sheetData>
    <row r="1" spans="1:31" ht="19" x14ac:dyDescent="0.2">
      <c r="A1" s="149"/>
      <c r="B1" s="149"/>
      <c r="C1" s="149"/>
      <c r="D1" s="150"/>
      <c r="E1" s="151"/>
      <c r="F1" s="151"/>
      <c r="G1" s="151"/>
      <c r="H1" s="149"/>
      <c r="I1" s="149"/>
      <c r="J1" s="149"/>
      <c r="K1" s="149"/>
      <c r="L1" s="153" t="s">
        <v>61</v>
      </c>
      <c r="M1" s="154" t="str">
        <f>IF(Guidance!C5="","fill in name of country/state in guidance sheet",Guidance!C5)</f>
        <v>fill in name of country/state in guidance sheet</v>
      </c>
      <c r="N1" s="152"/>
      <c r="O1" s="153" t="s">
        <v>252</v>
      </c>
      <c r="P1" s="84"/>
      <c r="Q1" s="155"/>
      <c r="R1" s="155"/>
      <c r="S1" s="150"/>
      <c r="T1" s="150"/>
      <c r="U1" s="149"/>
      <c r="V1" s="149"/>
      <c r="W1" s="155"/>
      <c r="X1" s="150"/>
    </row>
    <row r="2" spans="1:31" ht="30" customHeight="1" x14ac:dyDescent="0.2">
      <c r="A2" s="150"/>
      <c r="B2" s="149"/>
      <c r="C2" s="149"/>
      <c r="D2" s="150"/>
      <c r="E2" s="151"/>
      <c r="F2" s="151"/>
      <c r="G2" s="151"/>
      <c r="H2" s="149"/>
      <c r="I2" s="149"/>
      <c r="J2" s="149"/>
      <c r="K2" s="149"/>
      <c r="L2" s="157" t="s">
        <v>3</v>
      </c>
      <c r="M2" s="152"/>
      <c r="N2" s="152"/>
      <c r="O2" s="153" t="s">
        <v>63</v>
      </c>
      <c r="P2" s="149" t="str">
        <f>AE13</f>
        <v>Water; Sanitation; Hygiene; Schools</v>
      </c>
      <c r="Q2" s="155"/>
      <c r="R2" s="155"/>
      <c r="S2" s="150"/>
      <c r="T2" s="150"/>
      <c r="U2" s="149"/>
      <c r="V2" s="149"/>
      <c r="W2" s="155"/>
      <c r="X2" s="150"/>
    </row>
    <row r="3" spans="1:31" s="89" customFormat="1" ht="13.5" customHeight="1" x14ac:dyDescent="0.2">
      <c r="B3" s="140"/>
      <c r="C3" s="140"/>
      <c r="E3" s="141"/>
      <c r="F3" s="141"/>
      <c r="G3" s="141"/>
      <c r="H3" s="140"/>
      <c r="I3" s="140"/>
      <c r="J3" s="140"/>
      <c r="K3" s="140"/>
      <c r="L3" s="140"/>
      <c r="M3" s="140"/>
      <c r="N3" s="142"/>
      <c r="O3" s="143"/>
      <c r="P3" s="144"/>
      <c r="Q3" s="144"/>
      <c r="R3" s="144"/>
      <c r="U3" s="140"/>
      <c r="V3" s="140"/>
      <c r="W3" s="144"/>
    </row>
    <row r="4" spans="1:31" ht="26.5" customHeight="1" x14ac:dyDescent="0.2">
      <c r="A4" s="90" t="s">
        <v>64</v>
      </c>
      <c r="B4" s="90"/>
      <c r="C4" s="90"/>
      <c r="D4" s="90"/>
      <c r="E4" s="90"/>
      <c r="F4" s="90"/>
      <c r="G4" s="90"/>
      <c r="H4" s="90"/>
      <c r="I4" s="90"/>
      <c r="J4" s="156"/>
      <c r="N4" s="107" t="s">
        <v>65</v>
      </c>
      <c r="O4" s="107"/>
      <c r="P4" s="107"/>
      <c r="Q4"/>
      <c r="R4"/>
      <c r="U4" s="1"/>
      <c r="V4" s="104"/>
      <c r="W4" s="104" t="s">
        <v>66</v>
      </c>
      <c r="X4" s="105"/>
    </row>
    <row r="5" spans="1:31" ht="42" customHeight="1" x14ac:dyDescent="0.2">
      <c r="A5" s="13" t="s">
        <v>67</v>
      </c>
      <c r="B5" s="14" t="s">
        <v>253</v>
      </c>
      <c r="C5" s="13" t="s">
        <v>8</v>
      </c>
      <c r="D5" s="13" t="s">
        <v>68</v>
      </c>
      <c r="E5" s="13" t="s">
        <v>69</v>
      </c>
      <c r="F5" s="13" t="s">
        <v>70</v>
      </c>
      <c r="G5" s="13" t="s">
        <v>71</v>
      </c>
      <c r="H5" s="13" t="s">
        <v>72</v>
      </c>
      <c r="I5" s="13" t="s">
        <v>73</v>
      </c>
      <c r="J5" s="14" t="s">
        <v>74</v>
      </c>
      <c r="K5" s="145" t="s">
        <v>75</v>
      </c>
      <c r="L5" s="145" t="s">
        <v>76</v>
      </c>
      <c r="M5" s="145" t="s">
        <v>186</v>
      </c>
      <c r="N5" s="145" t="s">
        <v>78</v>
      </c>
      <c r="O5" s="146" t="s">
        <v>187</v>
      </c>
      <c r="P5" s="147" t="s">
        <v>80</v>
      </c>
      <c r="Q5" s="148" t="s">
        <v>188</v>
      </c>
      <c r="R5" s="148" t="s">
        <v>85</v>
      </c>
      <c r="T5" s="97" t="s">
        <v>69</v>
      </c>
      <c r="U5" s="99" t="s">
        <v>83</v>
      </c>
      <c r="V5" s="100" t="s">
        <v>84</v>
      </c>
      <c r="W5" s="101" t="s">
        <v>75</v>
      </c>
      <c r="X5" s="30" t="s">
        <v>85</v>
      </c>
    </row>
    <row r="6" spans="1:31" ht="83.5" customHeight="1" x14ac:dyDescent="0.2">
      <c r="A6" s="12" t="str">
        <f>IF(Guidance!E5="","fill in name of country/state in guidance sheet",Guidance!E5)</f>
        <v>fill in name of country/state in guidance sheet</v>
      </c>
      <c r="B6" s="11" t="str">
        <f t="shared" ref="B6:B39" si="0">IF($P$1="","",$P$1)</f>
        <v/>
      </c>
      <c r="C6" s="12">
        <f t="shared" ref="C6:C36" si="1">Year</f>
        <v>2026</v>
      </c>
      <c r="D6" s="12" t="s">
        <v>86</v>
      </c>
      <c r="E6" s="1" t="str">
        <f t="shared" ref="E6:E39" si="2">$P$2</f>
        <v>Water; Sanitation; Hygiene; Schools</v>
      </c>
      <c r="F6" s="164"/>
      <c r="G6" s="164"/>
      <c r="H6" s="12"/>
      <c r="I6" s="12">
        <v>1</v>
      </c>
      <c r="J6" s="11" t="str">
        <f>IF(tblDistrict_1[[#This Row],[Code]]&gt;9.99,LEFT(tblDistrict_1[[#This Row],[Code]],2),LEFT(tblDistrict_1[[#This Row],[Code]],1))</f>
        <v>1</v>
      </c>
      <c r="K6" s="131" t="s">
        <v>87</v>
      </c>
      <c r="L6" s="138">
        <v>1</v>
      </c>
      <c r="M6" s="132" t="s">
        <v>88</v>
      </c>
      <c r="N6" s="123"/>
      <c r="O6" s="126" t="s">
        <v>89</v>
      </c>
      <c r="P6" s="126"/>
      <c r="Q6" s="124" t="str">
        <f>IFERROR(VLOOKUP(tblDistrict_1[[#This Row],[Rating]],Guidance!$A$11:$C$15,3,0),"")</f>
        <v/>
      </c>
      <c r="R6"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6" s="97" t="str">
        <f t="shared" ref="T6:T18" si="3">$P$2</f>
        <v>Water; Sanitation; Hygiene; Schools</v>
      </c>
      <c r="U6" s="98" t="str">
        <f>$M$1&amp;"-"&amp;$P$1</f>
        <v>fill in name of country/state in guidance sheet-</v>
      </c>
      <c r="V6" s="82" t="s">
        <v>90</v>
      </c>
      <c r="W6" s="82" t="s">
        <v>91</v>
      </c>
      <c r="X6" s="103" t="str">
        <f>IFERROR(VLOOKUP(Results_district_1[[#This Row],[Indicator]],tblDistrict_1[[#All],[Code]:[Index]],7,0),"")</f>
        <v/>
      </c>
      <c r="AC6" s="61" t="s">
        <v>254</v>
      </c>
    </row>
    <row r="7" spans="1:31" ht="83.5" customHeight="1" thickBot="1" x14ac:dyDescent="0.25">
      <c r="A7" s="12">
        <f>IF(Guidance!E6="","fill in name of country/state in guidance sheet",Guidance!E6)</f>
        <v>2026</v>
      </c>
      <c r="B7" s="11" t="str">
        <f t="shared" si="0"/>
        <v/>
      </c>
      <c r="C7" s="12">
        <f t="shared" si="1"/>
        <v>2026</v>
      </c>
      <c r="D7" s="12" t="s">
        <v>92</v>
      </c>
      <c r="E7" s="1" t="str">
        <f t="shared" si="2"/>
        <v>Water; Sanitation; Hygiene; Schools</v>
      </c>
      <c r="F7" s="164"/>
      <c r="G7" s="164"/>
      <c r="H7" s="12"/>
      <c r="I7" s="12">
        <v>2</v>
      </c>
      <c r="J7" s="11" t="str">
        <f>IF(tblDistrict_1[[#This Row],[Code]]&gt;9.99,LEFT(tblDistrict_1[[#This Row],[Code]],2),LEFT(tblDistrict_1[[#This Row],[Code]],1))</f>
        <v>1</v>
      </c>
      <c r="K7" s="74" t="s">
        <v>87</v>
      </c>
      <c r="L7" s="76">
        <v>1.1000000000000001</v>
      </c>
      <c r="M7" s="77" t="s">
        <v>255</v>
      </c>
      <c r="N7" s="95"/>
      <c r="O7" s="111"/>
      <c r="P7" s="113"/>
      <c r="Q7" s="127" t="str">
        <f>IFERROR(VLOOKUP(tblDistrict_1[[#This Row],[Rating]],Guidance!$A$11:$C$15,3,0),"")</f>
        <v/>
      </c>
      <c r="R7" s="117"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7" s="97" t="str">
        <f t="shared" si="3"/>
        <v>Water; Sanitation; Hygiene; Schools</v>
      </c>
      <c r="U7" s="98" t="str">
        <f t="shared" ref="U7:U18" si="4">$M$1&amp;"-"&amp;$P$1</f>
        <v>fill in name of country/state in guidance sheet-</v>
      </c>
      <c r="V7" s="82" t="s">
        <v>94</v>
      </c>
      <c r="W7" s="82" t="s">
        <v>95</v>
      </c>
      <c r="X7" s="103" t="str">
        <f>IFERROR(VLOOKUP(Results_district_1[[#This Row],[Indicator]],tblDistrict_1[[#All],[Code]:[Index]],7,0),"")</f>
        <v/>
      </c>
      <c r="AC7" s="162" t="s">
        <v>100</v>
      </c>
      <c r="AD7" s="163" t="s">
        <v>54</v>
      </c>
      <c r="AE7" s="30" t="str">
        <f>IF(AC7="Yes", AD7,"")</f>
        <v>Water</v>
      </c>
    </row>
    <row r="8" spans="1:31" ht="83.5" customHeight="1" thickTop="1" thickBot="1" x14ac:dyDescent="0.25">
      <c r="A8" s="12" t="str">
        <f>IF(Guidance!E7="","fill in name of country/state in guidance sheet",Guidance!E7)</f>
        <v>fill in name of country/state in guidance sheet</v>
      </c>
      <c r="B8" s="11" t="str">
        <f t="shared" si="0"/>
        <v/>
      </c>
      <c r="C8" s="12">
        <f t="shared" si="1"/>
        <v>2026</v>
      </c>
      <c r="D8" s="12" t="s">
        <v>92</v>
      </c>
      <c r="E8" s="1" t="str">
        <f t="shared" si="2"/>
        <v>Water; Sanitation; Hygiene; Schools</v>
      </c>
      <c r="F8" s="164"/>
      <c r="G8" s="164"/>
      <c r="H8" s="12"/>
      <c r="I8" s="12">
        <v>3</v>
      </c>
      <c r="J8" s="11" t="str">
        <f>IF(tblDistrict_1[[#This Row],[Code]]&gt;9.99,LEFT(tblDistrict_1[[#This Row],[Code]],2),LEFT(tblDistrict_1[[#This Row],[Code]],1))</f>
        <v>1</v>
      </c>
      <c r="K8" s="74" t="s">
        <v>87</v>
      </c>
      <c r="L8" s="76">
        <v>1.2</v>
      </c>
      <c r="M8" s="77" t="s">
        <v>256</v>
      </c>
      <c r="N8" s="95"/>
      <c r="O8" s="111"/>
      <c r="P8" s="112"/>
      <c r="Q8" s="118" t="str">
        <f>IFERROR(VLOOKUP(tblDistrict_1[[#This Row],[Rating]],Guidance!$A$11:$C$15,3,0),"")</f>
        <v/>
      </c>
      <c r="R8"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8" s="97" t="str">
        <f t="shared" si="3"/>
        <v>Water; Sanitation; Hygiene; Schools</v>
      </c>
      <c r="U8" s="98" t="str">
        <f t="shared" si="4"/>
        <v>fill in name of country/state in guidance sheet-</v>
      </c>
      <c r="V8" s="82" t="s">
        <v>97</v>
      </c>
      <c r="W8" s="82" t="s">
        <v>98</v>
      </c>
      <c r="X8" s="103" t="str">
        <f>IFERROR(VLOOKUP(Results_district_1[[#This Row],[Indicator]],tblDistrict_1[[#All],[Code]:[Index]],7,0),"")</f>
        <v/>
      </c>
      <c r="AC8" s="160" t="s">
        <v>100</v>
      </c>
      <c r="AD8" s="163" t="s">
        <v>257</v>
      </c>
      <c r="AE8" t="str">
        <f>IF(AC8="Yes", AD8,"")</f>
        <v>Sanitation</v>
      </c>
    </row>
    <row r="9" spans="1:31" ht="83.5" customHeight="1" thickTop="1" thickBot="1" x14ac:dyDescent="0.25">
      <c r="A9" s="12" t="str">
        <f>IF(Guidance!E8="","fill in name of country/state in guidance sheet",Guidance!E8)</f>
        <v>fill in name of country/state in guidance sheet</v>
      </c>
      <c r="B9" s="11" t="str">
        <f t="shared" si="0"/>
        <v/>
      </c>
      <c r="C9" s="12">
        <f t="shared" si="1"/>
        <v>2026</v>
      </c>
      <c r="D9" s="12" t="s">
        <v>92</v>
      </c>
      <c r="E9" s="1" t="str">
        <f t="shared" si="2"/>
        <v>Water; Sanitation; Hygiene; Schools</v>
      </c>
      <c r="F9" s="164"/>
      <c r="G9" s="164"/>
      <c r="H9" s="12"/>
      <c r="I9" s="12">
        <v>4</v>
      </c>
      <c r="J9" s="11" t="str">
        <f>IF(tblDistrict_1[[#This Row],[Code]]&gt;9.99,LEFT(tblDistrict_1[[#This Row],[Code]],2),LEFT(tblDistrict_1[[#This Row],[Code]],1))</f>
        <v>1</v>
      </c>
      <c r="K9" s="75" t="s">
        <v>87</v>
      </c>
      <c r="L9" s="108">
        <v>1.3</v>
      </c>
      <c r="M9" s="77" t="s">
        <v>258</v>
      </c>
      <c r="N9" s="95"/>
      <c r="O9" s="111"/>
      <c r="P9" s="112"/>
      <c r="Q9" s="118" t="str">
        <f>IFERROR(VLOOKUP(tblDistrict_1[[#This Row],[Rating]],Guidance!$A$11:$C$15,3,0),"")</f>
        <v/>
      </c>
      <c r="R9"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9" s="97" t="str">
        <f t="shared" si="3"/>
        <v>Water; Sanitation; Hygiene; Schools</v>
      </c>
      <c r="U9" s="98" t="str">
        <f t="shared" si="4"/>
        <v>fill in name of country/state in guidance sheet-</v>
      </c>
      <c r="V9" s="82">
        <v>1</v>
      </c>
      <c r="W9" s="82" t="s">
        <v>87</v>
      </c>
      <c r="X9" s="103" t="str">
        <f>IFERROR(VLOOKUP(Results_district_1[[#This Row],[Indicator]],tblDistrict_1[[#All],[Code]:[Index]],7,0),"")</f>
        <v/>
      </c>
      <c r="AC9" s="161" t="s">
        <v>100</v>
      </c>
      <c r="AD9" s="163" t="s">
        <v>259</v>
      </c>
      <c r="AE9" t="str">
        <f>IF(AC9="Yes", AD9,"")</f>
        <v>Hygiene</v>
      </c>
    </row>
    <row r="10" spans="1:31" ht="83.5" customHeight="1" thickTop="1" thickBot="1" x14ac:dyDescent="0.25">
      <c r="A10" s="12" t="str">
        <f>IF(Guidance!E9="","fill in name of country/state in guidance sheet",Guidance!E9)</f>
        <v>fill in name of country/state in guidance sheet</v>
      </c>
      <c r="B10" s="11" t="str">
        <f t="shared" si="0"/>
        <v/>
      </c>
      <c r="C10" s="12">
        <f t="shared" si="1"/>
        <v>2026</v>
      </c>
      <c r="D10" s="12" t="s">
        <v>92</v>
      </c>
      <c r="E10" s="1" t="str">
        <f t="shared" si="2"/>
        <v>Water; Sanitation; Hygiene; Schools</v>
      </c>
      <c r="F10" s="164"/>
      <c r="G10" s="164"/>
      <c r="H10" s="12" t="s">
        <v>100</v>
      </c>
      <c r="I10" s="12">
        <v>5</v>
      </c>
      <c r="J10" s="11" t="str">
        <f>IF(tblDistrict_1[[#This Row],[Code]]&gt;9.99,LEFT(tblDistrict_1[[#This Row],[Code]],2),LEFT(tblDistrict_1[[#This Row],[Code]],1))</f>
        <v>1</v>
      </c>
      <c r="K10" s="74" t="s">
        <v>87</v>
      </c>
      <c r="L10" s="76">
        <v>1.4</v>
      </c>
      <c r="M10" s="110" t="s">
        <v>260</v>
      </c>
      <c r="N10" s="95"/>
      <c r="O10" s="73"/>
      <c r="P10" s="73"/>
      <c r="Q10" s="118" t="str">
        <f>IFERROR(VLOOKUP(tblDistrict_1[[#This Row],[Rating]],Guidance!$A$11:$C$15,3,0),"")</f>
        <v/>
      </c>
      <c r="R10"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10" s="97" t="str">
        <f t="shared" si="3"/>
        <v>Water; Sanitation; Hygiene; Schools</v>
      </c>
      <c r="U10" s="98" t="str">
        <f t="shared" si="4"/>
        <v>fill in name of country/state in guidance sheet-</v>
      </c>
      <c r="V10" s="82">
        <v>2</v>
      </c>
      <c r="W10" s="82" t="s">
        <v>102</v>
      </c>
      <c r="X10" s="103" t="str">
        <f>IFERROR(VLOOKUP(Results_district_1[[#This Row],[Indicator]],tblDistrict_1[[#All],[Code]:[Index]],7,0),"")</f>
        <v/>
      </c>
      <c r="AC10" s="160" t="s">
        <v>126</v>
      </c>
      <c r="AD10" s="163" t="s">
        <v>261</v>
      </c>
      <c r="AE10" t="str">
        <f>IF(AC10="Yes", AD10,"")</f>
        <v/>
      </c>
    </row>
    <row r="11" spans="1:31" ht="83.5" customHeight="1" thickTop="1" thickBot="1" x14ac:dyDescent="0.25">
      <c r="A11" s="12" t="str">
        <f>IF(Guidance!E10="","fill in name of country/state in guidance sheet",Guidance!E10)</f>
        <v>fill in name of country/state in guidance sheet</v>
      </c>
      <c r="B11" s="11" t="str">
        <f t="shared" si="0"/>
        <v/>
      </c>
      <c r="C11" s="12">
        <f t="shared" si="1"/>
        <v>2026</v>
      </c>
      <c r="D11" s="12" t="s">
        <v>92</v>
      </c>
      <c r="E11" s="1" t="str">
        <f t="shared" si="2"/>
        <v>Water; Sanitation; Hygiene; Schools</v>
      </c>
      <c r="F11" s="164"/>
      <c r="G11" s="164" t="s">
        <v>100</v>
      </c>
      <c r="H11" s="12"/>
      <c r="I11" s="12">
        <v>6</v>
      </c>
      <c r="J11" s="11" t="str">
        <f>IF(tblDistrict_1[[#This Row],[Code]]&gt;9.99,LEFT(tblDistrict_1[[#This Row],[Code]],2),LEFT(tblDistrict_1[[#This Row],[Code]],1))</f>
        <v>1</v>
      </c>
      <c r="K11" s="74" t="s">
        <v>87</v>
      </c>
      <c r="L11" s="76">
        <v>1.5</v>
      </c>
      <c r="M11" s="110" t="s">
        <v>262</v>
      </c>
      <c r="N11" s="95"/>
      <c r="O11" s="73"/>
      <c r="P11" s="73"/>
      <c r="Q11" s="120" t="str">
        <f>IFERROR(VLOOKUP(tblDistrict_1[[#This Row],[Rating]],Guidance!$A$11:$C$15,3,0),"")</f>
        <v/>
      </c>
      <c r="R11"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11" s="97" t="str">
        <f t="shared" si="3"/>
        <v>Water; Sanitation; Hygiene; Schools</v>
      </c>
      <c r="U11" s="98" t="str">
        <f t="shared" si="4"/>
        <v>fill in name of country/state in guidance sheet-</v>
      </c>
      <c r="V11" s="82">
        <v>3</v>
      </c>
      <c r="W11" s="82" t="s">
        <v>104</v>
      </c>
      <c r="X11" s="103" t="str">
        <f>IFERROR(VLOOKUP(Results_district_1[[#This Row],[Indicator]],tblDistrict_1[[#All],[Code]:[Index]],7,0),"")</f>
        <v/>
      </c>
      <c r="AC11" s="160" t="s">
        <v>100</v>
      </c>
      <c r="AD11" s="163" t="s">
        <v>263</v>
      </c>
      <c r="AE11" t="str">
        <f>IF(AC11="Yes", AD11,"")</f>
        <v>Schools</v>
      </c>
    </row>
    <row r="12" spans="1:31" ht="83.5" customHeight="1" thickTop="1" x14ac:dyDescent="0.2">
      <c r="A12" s="12" t="str">
        <f>IF(Guidance!E11="","fill in name of country/state in guidance sheet",Guidance!E11)</f>
        <v>fill in name of country/state in guidance sheet</v>
      </c>
      <c r="B12" s="11" t="str">
        <f t="shared" si="0"/>
        <v/>
      </c>
      <c r="C12" s="12">
        <f t="shared" si="1"/>
        <v>2026</v>
      </c>
      <c r="D12" s="12" t="s">
        <v>92</v>
      </c>
      <c r="E12" s="1" t="str">
        <f t="shared" si="2"/>
        <v>Water; Sanitation; Hygiene; Schools</v>
      </c>
      <c r="F12" s="164"/>
      <c r="G12" s="164"/>
      <c r="H12" s="12"/>
      <c r="I12" s="12">
        <v>7</v>
      </c>
      <c r="J12" s="11" t="str">
        <f>IF(tblDistrict_1[[#This Row],[Code]]&gt;9.99,LEFT(tblDistrict_1[[#This Row],[Code]],2),LEFT(tblDistrict_1[[#This Row],[Code]],1))</f>
        <v>1</v>
      </c>
      <c r="K12" s="74" t="s">
        <v>87</v>
      </c>
      <c r="L12" s="76">
        <v>1.6</v>
      </c>
      <c r="M12" s="110" t="s">
        <v>264</v>
      </c>
      <c r="N12" s="95"/>
      <c r="O12" s="73"/>
      <c r="P12" s="73"/>
      <c r="Q12" s="120" t="str">
        <f>IFERROR(VLOOKUP(tblDistrict_1[[#This Row],[Rating]],Guidance!$A$11:$C$15,3,0),"")</f>
        <v/>
      </c>
      <c r="R12"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12" s="97" t="str">
        <f t="shared" si="3"/>
        <v>Water; Sanitation; Hygiene; Schools</v>
      </c>
      <c r="U12" s="98" t="str">
        <f t="shared" si="4"/>
        <v>fill in name of country/state in guidance sheet-</v>
      </c>
      <c r="V12" s="82">
        <v>4</v>
      </c>
      <c r="W12" s="82" t="s">
        <v>106</v>
      </c>
      <c r="X12" s="103" t="str">
        <f>IFERROR(VLOOKUP(Results_district_1[[#This Row],[Indicator]],tblDistrict_1[[#All],[Code]:[Index]],7,0),"")</f>
        <v/>
      </c>
      <c r="AE12" s="96" t="str">
        <f>_xlfn.TEXTJOIN("; ",,AE7:AE11)</f>
        <v>Water; Sanitation; Hygiene; Schools</v>
      </c>
    </row>
    <row r="13" spans="1:31" ht="83.5" customHeight="1" x14ac:dyDescent="0.2">
      <c r="A13" s="12" t="str">
        <f>IF(Guidance!E12="","fill in name of country/state in guidance sheet",Guidance!E12)</f>
        <v>fill in name of country/state in guidance sheet</v>
      </c>
      <c r="B13" s="11" t="str">
        <f t="shared" si="0"/>
        <v/>
      </c>
      <c r="C13" s="12">
        <f t="shared" si="1"/>
        <v>2026</v>
      </c>
      <c r="D13" s="12" t="s">
        <v>92</v>
      </c>
      <c r="E13" s="1" t="str">
        <f t="shared" si="2"/>
        <v>Water; Sanitation; Hygiene; Schools</v>
      </c>
      <c r="F13" s="12"/>
      <c r="G13" s="12"/>
      <c r="H13" s="12" t="s">
        <v>100</v>
      </c>
      <c r="I13" s="12">
        <v>8</v>
      </c>
      <c r="J13" s="11" t="str">
        <f>IF(tblDistrict_1[[#This Row],[Code]]&gt;9.99,LEFT(tblDistrict_1[[#This Row],[Code]],2),LEFT(tblDistrict_1[[#This Row],[Code]],1))</f>
        <v>1</v>
      </c>
      <c r="K13" s="74" t="s">
        <v>87</v>
      </c>
      <c r="L13" s="76">
        <v>1.7</v>
      </c>
      <c r="M13" s="110" t="s">
        <v>265</v>
      </c>
      <c r="N13" s="95"/>
      <c r="O13" s="73"/>
      <c r="P13" s="73"/>
      <c r="Q13" s="120" t="str">
        <f>IFERROR(VLOOKUP(tblDistrict_1[[#This Row],[Rating]],Guidance!$A$11:$C$15,3,0),"")</f>
        <v/>
      </c>
      <c r="R13"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13" s="97" t="str">
        <f t="shared" si="3"/>
        <v>Water; Sanitation; Hygiene; Schools</v>
      </c>
      <c r="U13" s="98" t="str">
        <f t="shared" si="4"/>
        <v>fill in name of country/state in guidance sheet-</v>
      </c>
      <c r="V13" s="82">
        <v>5</v>
      </c>
      <c r="W13" s="82" t="s">
        <v>108</v>
      </c>
      <c r="X13" s="103" t="str">
        <f>IFERROR(VLOOKUP(Results_district_1[[#This Row],[Indicator]],tblDistrict_1[[#All],[Code]:[Index]],7,0),"")</f>
        <v/>
      </c>
      <c r="AE13" s="96" t="str">
        <f>IF($AE$12="","WASH overall",AE12)</f>
        <v>Water; Sanitation; Hygiene; Schools</v>
      </c>
    </row>
    <row r="14" spans="1:31" ht="83.5" customHeight="1" x14ac:dyDescent="0.2">
      <c r="A14" s="12" t="str">
        <f>IF(Guidance!E11="","fill in name of country/state in guidance sheet",Guidance!E11)</f>
        <v>fill in name of country/state in guidance sheet</v>
      </c>
      <c r="B14" s="11" t="str">
        <f t="shared" si="0"/>
        <v/>
      </c>
      <c r="C14" s="12">
        <f t="shared" si="1"/>
        <v>2026</v>
      </c>
      <c r="D14" s="12" t="s">
        <v>86</v>
      </c>
      <c r="E14" s="1" t="str">
        <f t="shared" si="2"/>
        <v>Water; Sanitation; Hygiene; Schools</v>
      </c>
      <c r="F14" s="164"/>
      <c r="G14" s="164"/>
      <c r="H14" s="12"/>
      <c r="I14" s="12">
        <v>9</v>
      </c>
      <c r="J14" s="11" t="str">
        <f>IF(tblDistrict_1[[#This Row],[Code]]&gt;9.99,LEFT(tblDistrict_1[[#This Row],[Code]],2),LEFT(tblDistrict_1[[#This Row],[Code]],1))</f>
        <v>2</v>
      </c>
      <c r="K14" s="133" t="s">
        <v>102</v>
      </c>
      <c r="L14" s="139">
        <v>2</v>
      </c>
      <c r="M14" s="134" t="s">
        <v>105</v>
      </c>
      <c r="N14" s="123"/>
      <c r="O14" s="126"/>
      <c r="P14" s="126"/>
      <c r="Q14" s="124" t="str">
        <f>IFERROR(VLOOKUP(tblDistrict_1[[#This Row],[Rating]],Guidance!$A$11:$C$15,3,0),"")</f>
        <v/>
      </c>
      <c r="R14"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14" s="97" t="str">
        <f t="shared" si="3"/>
        <v>Water; Sanitation; Hygiene; Schools</v>
      </c>
      <c r="U14" s="98" t="str">
        <f t="shared" si="4"/>
        <v>fill in name of country/state in guidance sheet-</v>
      </c>
      <c r="V14" s="82">
        <v>6</v>
      </c>
      <c r="W14" s="82" t="s">
        <v>110</v>
      </c>
      <c r="X14" s="103" t="str">
        <f>IFERROR(VLOOKUP(Results_district_1[[#This Row],[Indicator]],tblDistrict_1[[#All],[Code]:[Index]],7,0),"")</f>
        <v/>
      </c>
    </row>
    <row r="15" spans="1:31" ht="83.5" customHeight="1" x14ac:dyDescent="0.2">
      <c r="A15" s="12" t="str">
        <f>IF(Guidance!E12="","fill in name of country/state in guidance sheet",Guidance!E12)</f>
        <v>fill in name of country/state in guidance sheet</v>
      </c>
      <c r="B15" s="11" t="str">
        <f t="shared" si="0"/>
        <v/>
      </c>
      <c r="C15" s="12">
        <f t="shared" si="1"/>
        <v>2026</v>
      </c>
      <c r="D15" s="12" t="s">
        <v>92</v>
      </c>
      <c r="E15" s="1" t="str">
        <f t="shared" si="2"/>
        <v>Water; Sanitation; Hygiene; Schools</v>
      </c>
      <c r="F15" s="12"/>
      <c r="G15" s="12"/>
      <c r="H15" s="12"/>
      <c r="I15" s="12">
        <v>10</v>
      </c>
      <c r="J15" s="11" t="str">
        <f>IF(tblDistrict_1[[#This Row],[Code]]&gt;9.99,LEFT(tblDistrict_1[[#This Row],[Code]],2),LEFT(tblDistrict_1[[#This Row],[Code]],1))</f>
        <v>2</v>
      </c>
      <c r="K15" s="74" t="s">
        <v>102</v>
      </c>
      <c r="L15" s="76">
        <v>2.1</v>
      </c>
      <c r="M15" s="79" t="s">
        <v>266</v>
      </c>
      <c r="N15" s="95"/>
      <c r="O15" s="73"/>
      <c r="P15" s="73"/>
      <c r="Q15" s="128" t="str">
        <f>IFERROR(VLOOKUP(tblDistrict_1[[#This Row],[Rating]],Guidance!$A$11:$C$15,3,0),"")</f>
        <v/>
      </c>
      <c r="R15" s="117"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15" s="97" t="str">
        <f t="shared" si="3"/>
        <v>Water; Sanitation; Hygiene; Schools</v>
      </c>
      <c r="U15" s="98" t="str">
        <f t="shared" si="4"/>
        <v>fill in name of country/state in guidance sheet-</v>
      </c>
      <c r="V15" s="82">
        <v>7</v>
      </c>
      <c r="W15" s="82" t="s">
        <v>112</v>
      </c>
      <c r="X15" s="103" t="str">
        <f>IFERROR(VLOOKUP(Results_district_1[[#This Row],[Indicator]],tblDistrict_1[[#All],[Code]:[Index]],7,0),"")</f>
        <v/>
      </c>
    </row>
    <row r="16" spans="1:31" ht="83.5" customHeight="1" x14ac:dyDescent="0.2">
      <c r="A16" s="12" t="str">
        <f>IF(Guidance!E13="","fill in name of country/state in guidance sheet",Guidance!E13)</f>
        <v>fill in name of country/state in guidance sheet</v>
      </c>
      <c r="B16" s="11" t="str">
        <f t="shared" si="0"/>
        <v/>
      </c>
      <c r="C16" s="12">
        <f t="shared" si="1"/>
        <v>2026</v>
      </c>
      <c r="D16" s="12" t="s">
        <v>92</v>
      </c>
      <c r="E16" s="1" t="str">
        <f t="shared" si="2"/>
        <v>Water; Sanitation; Hygiene; Schools</v>
      </c>
      <c r="F16" s="12"/>
      <c r="G16" s="12" t="s">
        <v>100</v>
      </c>
      <c r="H16" s="12" t="s">
        <v>126</v>
      </c>
      <c r="I16" s="12">
        <v>11</v>
      </c>
      <c r="J16" s="11" t="str">
        <f>IF(tblDistrict_1[[#This Row],[Code]]&gt;9.99,LEFT(tblDistrict_1[[#This Row],[Code]],2),LEFT(tblDistrict_1[[#This Row],[Code]],1))</f>
        <v>2</v>
      </c>
      <c r="K16" s="74" t="s">
        <v>102</v>
      </c>
      <c r="L16" s="76">
        <v>2.2000000000000002</v>
      </c>
      <c r="M16" s="80" t="s">
        <v>267</v>
      </c>
      <c r="N16" s="95"/>
      <c r="O16" s="73"/>
      <c r="P16" s="73"/>
      <c r="Q16" s="118" t="str">
        <f>IFERROR(VLOOKUP(tblDistrict_1[[#This Row],[Rating]],Guidance!$A$11:$C$15,3,0),"")</f>
        <v/>
      </c>
      <c r="R16"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16" s="97" t="str">
        <f t="shared" si="3"/>
        <v>Water; Sanitation; Hygiene; Schools</v>
      </c>
      <c r="U16" s="98" t="str">
        <f t="shared" si="4"/>
        <v>fill in name of country/state in guidance sheet-</v>
      </c>
      <c r="V16" s="82">
        <v>8</v>
      </c>
      <c r="W16" s="82" t="s">
        <v>114</v>
      </c>
      <c r="X16" s="103" t="str">
        <f>IFERROR(VLOOKUP(Results_district_1[[#This Row],[Indicator]],tblDistrict_1[[#All],[Code]:[Index]],7,0),"")</f>
        <v/>
      </c>
    </row>
    <row r="17" spans="1:24" ht="83.5" customHeight="1" x14ac:dyDescent="0.2">
      <c r="A17" s="12" t="str">
        <f>IF(Guidance!E14="","fill in name of country/state in guidance sheet",Guidance!E14)</f>
        <v>fill in name of country/state in guidance sheet</v>
      </c>
      <c r="B17" s="11" t="str">
        <f t="shared" si="0"/>
        <v/>
      </c>
      <c r="C17" s="12">
        <f t="shared" si="1"/>
        <v>2026</v>
      </c>
      <c r="D17" s="12" t="s">
        <v>92</v>
      </c>
      <c r="E17" s="1" t="str">
        <f t="shared" si="2"/>
        <v>Water; Sanitation; Hygiene; Schools</v>
      </c>
      <c r="F17" s="12"/>
      <c r="G17" s="12"/>
      <c r="H17" s="12" t="s">
        <v>100</v>
      </c>
      <c r="I17" s="12">
        <v>12</v>
      </c>
      <c r="J17" s="11" t="str">
        <f>IF(tblDistrict_1[[#This Row],[Code]]&gt;9.99,LEFT(tblDistrict_1[[#This Row],[Code]],2),LEFT(tblDistrict_1[[#This Row],[Code]],1))</f>
        <v>2</v>
      </c>
      <c r="K17" s="74" t="s">
        <v>102</v>
      </c>
      <c r="L17" s="76">
        <v>2.2999999999999998</v>
      </c>
      <c r="M17" s="77" t="s">
        <v>268</v>
      </c>
      <c r="N17" s="95"/>
      <c r="O17" s="111"/>
      <c r="P17" s="112"/>
      <c r="Q17" s="118" t="str">
        <f>IFERROR(VLOOKUP(tblDistrict_1[[#This Row],[Rating]],Guidance!$A$11:$C$15,3,0),"")</f>
        <v/>
      </c>
      <c r="R17"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17" s="97" t="str">
        <f t="shared" si="3"/>
        <v>Water; Sanitation; Hygiene; Schools</v>
      </c>
      <c r="U17" s="98" t="str">
        <f t="shared" si="4"/>
        <v>fill in name of country/state in guidance sheet-</v>
      </c>
      <c r="V17" s="82">
        <v>9</v>
      </c>
      <c r="W17" s="82" t="s">
        <v>117</v>
      </c>
      <c r="X17" s="103" t="str">
        <f>IFERROR(VLOOKUP(Results_district_1[[#This Row],[Indicator]],tblDistrict_1[[#All],[Code]:[Index]],7,0),"")</f>
        <v/>
      </c>
    </row>
    <row r="18" spans="1:24" ht="83.5" customHeight="1" x14ac:dyDescent="0.2">
      <c r="A18" s="12" t="str">
        <f>IF(Guidance!E15="","fill in name of country/state in guidance sheet",Guidance!E15)</f>
        <v>fill in name of country/state in guidance sheet</v>
      </c>
      <c r="B18" s="11" t="str">
        <f t="shared" si="0"/>
        <v/>
      </c>
      <c r="C18" s="12">
        <f t="shared" si="1"/>
        <v>2026</v>
      </c>
      <c r="D18" s="12" t="s">
        <v>92</v>
      </c>
      <c r="E18" s="1" t="str">
        <f t="shared" si="2"/>
        <v>Water; Sanitation; Hygiene; Schools</v>
      </c>
      <c r="F18" s="164" t="s">
        <v>100</v>
      </c>
      <c r="G18" s="164"/>
      <c r="H18" s="12"/>
      <c r="I18" s="12">
        <v>13</v>
      </c>
      <c r="J18" s="11" t="str">
        <f>IF(tblDistrict_1[[#This Row],[Code]]&gt;9.99,LEFT(tblDistrict_1[[#This Row],[Code]],2),LEFT(tblDistrict_1[[#This Row],[Code]],1))</f>
        <v>2</v>
      </c>
      <c r="K18" s="74" t="s">
        <v>102</v>
      </c>
      <c r="L18" s="76">
        <v>2.4</v>
      </c>
      <c r="M18" s="92" t="s">
        <v>269</v>
      </c>
      <c r="N18" s="95"/>
      <c r="O18" s="73"/>
      <c r="P18" s="73"/>
      <c r="Q18" s="120" t="str">
        <f>IFERROR(VLOOKUP(tblDistrict_1[[#This Row],[Rating]],Guidance!$A$11:$C$15,3,0),"")</f>
        <v/>
      </c>
      <c r="R18" s="116"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18" s="97" t="str">
        <f t="shared" si="3"/>
        <v>Water; Sanitation; Hygiene; Schools</v>
      </c>
      <c r="U18" s="98" t="str">
        <f t="shared" si="4"/>
        <v>fill in name of country/state in guidance sheet-</v>
      </c>
      <c r="V18" s="82">
        <v>10</v>
      </c>
      <c r="W18" s="82" t="s">
        <v>119</v>
      </c>
      <c r="X18" s="103" t="str">
        <f>IFERROR(VLOOKUP(Results_district_1[[#This Row],[Indicator]],tblDistrict_1[[#All],[Code]:[Index]],7,0),"")</f>
        <v/>
      </c>
    </row>
    <row r="19" spans="1:24" ht="83.5" customHeight="1" x14ac:dyDescent="0.2">
      <c r="A19" s="12" t="str">
        <f>IF(Guidance!E16="","fill in name of country/state in guidance sheet",Guidance!E16)</f>
        <v>fill in name of country/state in guidance sheet</v>
      </c>
      <c r="B19" s="11" t="str">
        <f t="shared" si="0"/>
        <v/>
      </c>
      <c r="C19" s="12">
        <f t="shared" si="1"/>
        <v>2026</v>
      </c>
      <c r="D19" s="12" t="s">
        <v>86</v>
      </c>
      <c r="E19" s="1" t="str">
        <f t="shared" si="2"/>
        <v>Water; Sanitation; Hygiene; Schools</v>
      </c>
      <c r="F19" s="164"/>
      <c r="G19" s="164"/>
      <c r="H19" s="12"/>
      <c r="I19" s="12">
        <v>14</v>
      </c>
      <c r="J19" s="11" t="str">
        <f>IF(tblDistrict_1[[#This Row],[Code]]&gt;9.99,LEFT(tblDistrict_1[[#This Row],[Code]],2),LEFT(tblDistrict_1[[#This Row],[Code]],1))</f>
        <v>3</v>
      </c>
      <c r="K19" s="133" t="s">
        <v>115</v>
      </c>
      <c r="L19" s="139">
        <v>3</v>
      </c>
      <c r="M19" s="134" t="s">
        <v>270</v>
      </c>
      <c r="N19" s="123"/>
      <c r="O19" s="126"/>
      <c r="P19" s="126"/>
      <c r="Q19" s="124" t="str">
        <f>IFERROR(VLOOKUP(tblDistrict_1[[#This Row],[Rating]],Guidance!$A$11:$C$15,3,0),"")</f>
        <v/>
      </c>
      <c r="R19"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T19" s="97" t="s">
        <v>121</v>
      </c>
      <c r="U19" s="98"/>
      <c r="V19" s="102" t="s">
        <v>122</v>
      </c>
      <c r="W19" s="102" t="s">
        <v>122</v>
      </c>
      <c r="X19" s="103" t="str">
        <f>IFERROR(SUBTOTAL(101,Results_district_1[Index]),"")</f>
        <v/>
      </c>
    </row>
    <row r="20" spans="1:24" ht="83.5" customHeight="1" x14ac:dyDescent="0.2">
      <c r="A20" s="12" t="str">
        <f>IF(Guidance!E17="","fill in name of country/state in guidance sheet",Guidance!E17)</f>
        <v>fill in name of country/state in guidance sheet</v>
      </c>
      <c r="B20" s="11" t="str">
        <f t="shared" si="0"/>
        <v/>
      </c>
      <c r="C20" s="12">
        <f t="shared" si="1"/>
        <v>2026</v>
      </c>
      <c r="D20" s="12" t="s">
        <v>92</v>
      </c>
      <c r="E20" s="1" t="str">
        <f t="shared" si="2"/>
        <v>Water; Sanitation; Hygiene; Schools</v>
      </c>
      <c r="F20" s="12"/>
      <c r="G20" s="12"/>
      <c r="H20" s="12"/>
      <c r="I20" s="12">
        <v>15</v>
      </c>
      <c r="J20" s="11" t="str">
        <f>IF(tblDistrict_1[[#This Row],[Code]]&gt;9.99,LEFT(tblDistrict_1[[#This Row],[Code]],2),LEFT(tblDistrict_1[[#This Row],[Code]],1))</f>
        <v>3</v>
      </c>
      <c r="K20" s="74" t="s">
        <v>115</v>
      </c>
      <c r="L20" s="76">
        <v>3.1</v>
      </c>
      <c r="M20" s="80" t="s">
        <v>271</v>
      </c>
      <c r="N20" s="95"/>
      <c r="O20" s="73"/>
      <c r="P20" s="73"/>
      <c r="Q20" s="129" t="str">
        <f>IFERROR(VLOOKUP(tblDistrict_1[[#This Row],[Rating]],Guidance!$A$11:$C$15,3,0),"")</f>
        <v/>
      </c>
      <c r="R20" s="117"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20"/>
      <c r="W20"/>
      <c r="X20"/>
    </row>
    <row r="21" spans="1:24" ht="83.5" customHeight="1" x14ac:dyDescent="0.2">
      <c r="A21" s="12" t="str">
        <f>IF(Guidance!E18="","fill in name of country/state in guidance sheet",Guidance!E18)</f>
        <v>fill in name of country/state in guidance sheet</v>
      </c>
      <c r="B21" s="11" t="str">
        <f t="shared" si="0"/>
        <v/>
      </c>
      <c r="C21" s="12">
        <f t="shared" si="1"/>
        <v>2026</v>
      </c>
      <c r="D21" s="12" t="s">
        <v>92</v>
      </c>
      <c r="E21" s="1" t="str">
        <f t="shared" si="2"/>
        <v>Water; Sanitation; Hygiene; Schools</v>
      </c>
      <c r="F21" s="12"/>
      <c r="G21" s="12" t="s">
        <v>100</v>
      </c>
      <c r="H21" s="12"/>
      <c r="I21" s="12">
        <v>16</v>
      </c>
      <c r="J21" s="11" t="str">
        <f>IF(tblDistrict_1[[#This Row],[Code]]&gt;9.99,LEFT(tblDistrict_1[[#This Row],[Code]],2),LEFT(tblDistrict_1[[#This Row],[Code]],1))</f>
        <v>3</v>
      </c>
      <c r="K21" s="74" t="s">
        <v>115</v>
      </c>
      <c r="L21" s="76">
        <v>3.2</v>
      </c>
      <c r="M21" s="80" t="s">
        <v>272</v>
      </c>
      <c r="N21" s="95"/>
      <c r="O21" s="73"/>
      <c r="P21" s="73"/>
      <c r="Q21" s="119" t="str">
        <f>IFERROR(VLOOKUP(tblDistrict_1[[#This Row],[Rating]],Guidance!$A$11:$C$15,3,0),"")</f>
        <v/>
      </c>
      <c r="R21"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21"/>
      <c r="W21"/>
      <c r="X21"/>
    </row>
    <row r="22" spans="1:24" ht="83.5" customHeight="1" x14ac:dyDescent="0.2">
      <c r="A22" s="12" t="str">
        <f>IF(Guidance!E19="","fill in name of country/state in guidance sheet",Guidance!E19)</f>
        <v>fill in name of country/state in guidance sheet</v>
      </c>
      <c r="B22" s="11" t="str">
        <f t="shared" si="0"/>
        <v/>
      </c>
      <c r="C22" s="12">
        <f t="shared" si="1"/>
        <v>2026</v>
      </c>
      <c r="D22" s="12" t="s">
        <v>92</v>
      </c>
      <c r="E22" s="1" t="str">
        <f t="shared" si="2"/>
        <v>Water; Sanitation; Hygiene; Schools</v>
      </c>
      <c r="F22" s="12"/>
      <c r="G22" s="12" t="s">
        <v>100</v>
      </c>
      <c r="H22" s="12"/>
      <c r="I22" s="12">
        <v>17</v>
      </c>
      <c r="J22" s="11" t="str">
        <f>IF(tblDistrict_1[[#This Row],[Code]]&gt;9.99,LEFT(tblDistrict_1[[#This Row],[Code]],2),LEFT(tblDistrict_1[[#This Row],[Code]],1))</f>
        <v>3</v>
      </c>
      <c r="K22" s="74" t="s">
        <v>115</v>
      </c>
      <c r="L22" s="76">
        <v>3.3</v>
      </c>
      <c r="M22" s="77" t="s">
        <v>273</v>
      </c>
      <c r="N22" s="95"/>
      <c r="O22" s="111"/>
      <c r="P22" s="112"/>
      <c r="Q22" s="119" t="str">
        <f>IFERROR(VLOOKUP(tblDistrict_1[[#This Row],[Rating]],Guidance!$A$11:$C$15,3,0),"")</f>
        <v/>
      </c>
      <c r="R22"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22"/>
      <c r="W22"/>
      <c r="X22"/>
    </row>
    <row r="23" spans="1:24" ht="83.5" customHeight="1" x14ac:dyDescent="0.2">
      <c r="A23" s="12" t="str">
        <f>IF(Guidance!E20="","fill in name of country/state in guidance sheet",Guidance!E20)</f>
        <v>fill in name of country/state in guidance sheet</v>
      </c>
      <c r="B23" s="11" t="str">
        <f t="shared" si="0"/>
        <v/>
      </c>
      <c r="C23" s="12">
        <f t="shared" si="1"/>
        <v>2026</v>
      </c>
      <c r="D23" s="12" t="s">
        <v>92</v>
      </c>
      <c r="E23" s="1" t="str">
        <f t="shared" si="2"/>
        <v>Water; Sanitation; Hygiene; Schools</v>
      </c>
      <c r="F23" s="12"/>
      <c r="G23" s="12" t="s">
        <v>100</v>
      </c>
      <c r="H23" s="12"/>
      <c r="I23" s="12">
        <v>18</v>
      </c>
      <c r="J23" s="11" t="str">
        <f>IF(tblDistrict_1[[#This Row],[Code]]&gt;9.99,LEFT(tblDistrict_1[[#This Row],[Code]],2),LEFT(tblDistrict_1[[#This Row],[Code]],1))</f>
        <v>3</v>
      </c>
      <c r="K23" s="74" t="s">
        <v>115</v>
      </c>
      <c r="L23" s="76">
        <v>3.4</v>
      </c>
      <c r="M23" s="93" t="s">
        <v>274</v>
      </c>
      <c r="N23" s="95"/>
      <c r="O23" s="73"/>
      <c r="P23" s="73"/>
      <c r="Q23" s="121" t="str">
        <f>IFERROR(VLOOKUP(tblDistrict_1[[#This Row],[Rating]],Guidance!$A$11:$C$15,3,0),"")</f>
        <v/>
      </c>
      <c r="R23" s="116"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23"/>
      <c r="W23"/>
      <c r="X23"/>
    </row>
    <row r="24" spans="1:24" ht="83.5" customHeight="1" x14ac:dyDescent="0.2">
      <c r="A24" s="12" t="e">
        <f>IF(Guidance!#REF!="","fill in name of country/state in guidance sheet",Guidance!#REF!)</f>
        <v>#REF!</v>
      </c>
      <c r="B24" s="11" t="str">
        <f t="shared" si="0"/>
        <v/>
      </c>
      <c r="C24" s="12">
        <f t="shared" si="1"/>
        <v>2026</v>
      </c>
      <c r="D24" s="12" t="s">
        <v>86</v>
      </c>
      <c r="E24" s="1" t="str">
        <f t="shared" si="2"/>
        <v>Water; Sanitation; Hygiene; Schools</v>
      </c>
      <c r="F24" s="164"/>
      <c r="G24" s="164"/>
      <c r="H24" s="12"/>
      <c r="I24" s="12">
        <v>19</v>
      </c>
      <c r="J24" s="11" t="str">
        <f>IF(tblDistrict_1[[#This Row],[Code]]&gt;9.99,LEFT(tblDistrict_1[[#This Row],[Code]],2),LEFT(tblDistrict_1[[#This Row],[Code]],1))</f>
        <v>4</v>
      </c>
      <c r="K24" s="133" t="s">
        <v>106</v>
      </c>
      <c r="L24" s="139">
        <v>4</v>
      </c>
      <c r="M24" s="135" t="s">
        <v>275</v>
      </c>
      <c r="N24" s="123"/>
      <c r="O24" s="126"/>
      <c r="P24" s="126"/>
      <c r="Q24" s="124" t="str">
        <f>IFERROR(VLOOKUP(tblDistrict_1[[#This Row],[Rating]],Guidance!$A$11:$C$15,3,0),"")</f>
        <v/>
      </c>
      <c r="R24"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24"/>
      <c r="W24"/>
      <c r="X24"/>
    </row>
    <row r="25" spans="1:24" ht="83.5" customHeight="1" x14ac:dyDescent="0.2">
      <c r="A25" s="12" t="str">
        <f>IF(Guidance!E21="","fill in name of country/state in guidance sheet",Guidance!E21)</f>
        <v>fill in name of country/state in guidance sheet</v>
      </c>
      <c r="B25" s="11" t="str">
        <f t="shared" si="0"/>
        <v/>
      </c>
      <c r="C25" s="12">
        <f t="shared" si="1"/>
        <v>2026</v>
      </c>
      <c r="D25" s="12" t="s">
        <v>92</v>
      </c>
      <c r="E25" s="1" t="str">
        <f t="shared" si="2"/>
        <v>Water; Sanitation; Hygiene; Schools</v>
      </c>
      <c r="F25" s="12"/>
      <c r="G25" s="12"/>
      <c r="H25" s="12"/>
      <c r="I25" s="12">
        <v>20</v>
      </c>
      <c r="J25" s="11" t="str">
        <f>IF(tblDistrict_1[[#This Row],[Code]]&gt;9.99,LEFT(tblDistrict_1[[#This Row],[Code]],2),LEFT(tblDistrict_1[[#This Row],[Code]],1))</f>
        <v>4</v>
      </c>
      <c r="K25" s="74" t="s">
        <v>106</v>
      </c>
      <c r="L25" s="76">
        <v>4.0999999999999996</v>
      </c>
      <c r="M25" s="80" t="s">
        <v>276</v>
      </c>
      <c r="N25" s="95"/>
      <c r="O25" s="73"/>
      <c r="P25" s="73"/>
      <c r="Q25" s="130" t="str">
        <f>IFERROR(VLOOKUP(tblDistrict_1[[#This Row],[Rating]],Guidance!$A$11:$C$15,3,0),"")</f>
        <v/>
      </c>
      <c r="R25" s="117"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25"/>
      <c r="W25"/>
      <c r="X25"/>
    </row>
    <row r="26" spans="1:24" ht="83.5" customHeight="1" x14ac:dyDescent="0.2">
      <c r="A26" s="12" t="str">
        <f>IF(Guidance!E22="","fill in name of country/state in guidance sheet",Guidance!E22)</f>
        <v>fill in name of country/state in guidance sheet</v>
      </c>
      <c r="B26" s="11" t="str">
        <f t="shared" si="0"/>
        <v/>
      </c>
      <c r="C26" s="12">
        <f t="shared" si="1"/>
        <v>2026</v>
      </c>
      <c r="D26" s="12" t="s">
        <v>92</v>
      </c>
      <c r="E26" s="1" t="str">
        <f t="shared" si="2"/>
        <v>Water; Sanitation; Hygiene; Schools</v>
      </c>
      <c r="F26" s="164"/>
      <c r="G26" s="164" t="s">
        <v>100</v>
      </c>
      <c r="H26" s="12"/>
      <c r="I26" s="12">
        <v>21</v>
      </c>
      <c r="J26" s="11" t="str">
        <f>IF(tblDistrict_1[[#This Row],[Code]]&gt;9.99,LEFT(tblDistrict_1[[#This Row],[Code]],2),LEFT(tblDistrict_1[[#This Row],[Code]],1))</f>
        <v>4</v>
      </c>
      <c r="K26" s="74" t="s">
        <v>106</v>
      </c>
      <c r="L26" s="76">
        <v>4.2</v>
      </c>
      <c r="M26" s="81" t="s">
        <v>277</v>
      </c>
      <c r="N26" s="95"/>
      <c r="O26" s="73"/>
      <c r="P26" s="73"/>
      <c r="Q26" s="114" t="str">
        <f>IFERROR(VLOOKUP(tblDistrict_1[[#This Row],[Rating]],Guidance!$A$11:$C$15,3,0),"")</f>
        <v/>
      </c>
      <c r="R26"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26"/>
      <c r="W26"/>
      <c r="X26"/>
    </row>
    <row r="27" spans="1:24" ht="83.5" customHeight="1" x14ac:dyDescent="0.2">
      <c r="A27" s="12" t="str">
        <f>IF(Guidance!E23="","fill in name of country/state in guidance sheet",Guidance!E23)</f>
        <v>fill in name of country/state in guidance sheet</v>
      </c>
      <c r="B27" s="11" t="str">
        <f t="shared" si="0"/>
        <v/>
      </c>
      <c r="C27" s="12">
        <f t="shared" si="1"/>
        <v>2026</v>
      </c>
      <c r="D27" s="12" t="s">
        <v>92</v>
      </c>
      <c r="E27" s="1" t="str">
        <f t="shared" si="2"/>
        <v>Water; Sanitation; Hygiene; Schools</v>
      </c>
      <c r="F27" s="12"/>
      <c r="G27" s="12" t="s">
        <v>100</v>
      </c>
      <c r="H27" s="12"/>
      <c r="I27" s="12">
        <v>22</v>
      </c>
      <c r="J27" s="11" t="str">
        <f>IF(tblDistrict_1[[#This Row],[Code]]&gt;9.99,LEFT(tblDistrict_1[[#This Row],[Code]],2),LEFT(tblDistrict_1[[#This Row],[Code]],1))</f>
        <v>4</v>
      </c>
      <c r="K27" s="74" t="s">
        <v>106</v>
      </c>
      <c r="L27" s="76">
        <v>4.3</v>
      </c>
      <c r="M27" s="77" t="s">
        <v>278</v>
      </c>
      <c r="N27" s="95"/>
      <c r="O27" s="111"/>
      <c r="P27" s="112"/>
      <c r="Q27" s="114" t="str">
        <f>IFERROR(VLOOKUP(tblDistrict_1[[#This Row],[Rating]],Guidance!$A$11:$C$15,3,0),"")</f>
        <v/>
      </c>
      <c r="R27"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27"/>
      <c r="W27"/>
      <c r="X27"/>
    </row>
    <row r="28" spans="1:24" ht="83.5" customHeight="1" x14ac:dyDescent="0.2">
      <c r="A28" s="12" t="str">
        <f>IF(Guidance!E24="","fill in name of country/state in guidance sheet",Guidance!E24)</f>
        <v>fill in name of country/state in guidance sheet</v>
      </c>
      <c r="B28" s="11" t="str">
        <f t="shared" si="0"/>
        <v/>
      </c>
      <c r="C28" s="12">
        <f t="shared" si="1"/>
        <v>2026</v>
      </c>
      <c r="D28" s="12" t="s">
        <v>92</v>
      </c>
      <c r="E28" s="1" t="str">
        <f t="shared" si="2"/>
        <v>Water; Sanitation; Hygiene; Schools</v>
      </c>
      <c r="F28" s="164"/>
      <c r="G28" s="164" t="s">
        <v>100</v>
      </c>
      <c r="H28" s="12"/>
      <c r="I28" s="12">
        <v>23</v>
      </c>
      <c r="J28" s="11" t="str">
        <f>IF(tblDistrict_1[[#This Row],[Code]]&gt;9.99,LEFT(tblDistrict_1[[#This Row],[Code]],2),LEFT(tblDistrict_1[[#This Row],[Code]],1))</f>
        <v>4</v>
      </c>
      <c r="K28" s="74" t="s">
        <v>106</v>
      </c>
      <c r="L28" s="78">
        <v>4.4000000000000004</v>
      </c>
      <c r="M28" s="79" t="s">
        <v>279</v>
      </c>
      <c r="N28" s="95"/>
      <c r="O28" s="73"/>
      <c r="P28" s="73"/>
      <c r="Q28" s="114" t="str">
        <f>IFERROR(VLOOKUP(tblDistrict_1[[#This Row],[Rating]],Guidance!$A$11:$C$15,3,0),"")</f>
        <v/>
      </c>
      <c r="R28"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28"/>
      <c r="W28"/>
      <c r="X28"/>
    </row>
    <row r="29" spans="1:24" ht="83.5" customHeight="1" x14ac:dyDescent="0.2">
      <c r="A29" s="12" t="str">
        <f>IF(Guidance!E25="","fill in name of country/state in guidance sheet",Guidance!E25)</f>
        <v>fill in name of country/state in guidance sheet</v>
      </c>
      <c r="B29" s="11" t="str">
        <f t="shared" si="0"/>
        <v/>
      </c>
      <c r="C29" s="12">
        <f t="shared" si="1"/>
        <v>2026</v>
      </c>
      <c r="D29" s="12" t="s">
        <v>92</v>
      </c>
      <c r="E29" s="1" t="str">
        <f t="shared" si="2"/>
        <v>Water; Sanitation; Hygiene; Schools</v>
      </c>
      <c r="F29" s="164"/>
      <c r="G29" s="164" t="s">
        <v>100</v>
      </c>
      <c r="H29" s="12"/>
      <c r="I29" s="12">
        <v>24</v>
      </c>
      <c r="J29" s="11" t="str">
        <f>IF(tblDistrict_1[[#This Row],[Code]]&gt;9.99,LEFT(tblDistrict_1[[#This Row],[Code]],2),LEFT(tblDistrict_1[[#This Row],[Code]],1))</f>
        <v>4</v>
      </c>
      <c r="K29" s="74" t="s">
        <v>106</v>
      </c>
      <c r="L29" s="76">
        <v>4.5</v>
      </c>
      <c r="M29" s="80" t="s">
        <v>280</v>
      </c>
      <c r="N29" s="95"/>
      <c r="O29" s="73"/>
      <c r="P29" s="73"/>
      <c r="Q29" s="114" t="str">
        <f>IFERROR(VLOOKUP(tblDistrict_1[[#This Row],[Rating]],Guidance!$A$11:$C$15,3,0),"")</f>
        <v/>
      </c>
      <c r="R29"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29"/>
      <c r="W29"/>
      <c r="X29"/>
    </row>
    <row r="30" spans="1:24" ht="83.5" customHeight="1" x14ac:dyDescent="0.2">
      <c r="A30" s="12" t="str">
        <f>IF(Guidance!E26="","fill in name of country/state in guidance sheet",Guidance!E26)</f>
        <v>fill in name of country/state in guidance sheet</v>
      </c>
      <c r="B30" s="11" t="str">
        <f t="shared" si="0"/>
        <v/>
      </c>
      <c r="C30" s="12">
        <f t="shared" si="1"/>
        <v>2026</v>
      </c>
      <c r="D30" s="12" t="s">
        <v>92</v>
      </c>
      <c r="E30" s="1" t="str">
        <f t="shared" si="2"/>
        <v>Water; Sanitation; Hygiene; Schools</v>
      </c>
      <c r="F30" s="164"/>
      <c r="G30" s="164" t="s">
        <v>100</v>
      </c>
      <c r="H30" s="12"/>
      <c r="I30" s="12">
        <v>25</v>
      </c>
      <c r="J30" s="11" t="str">
        <f>IF(tblDistrict_1[[#This Row],[Code]]&gt;9.99,LEFT(tblDistrict_1[[#This Row],[Code]],2),LEFT(tblDistrict_1[[#This Row],[Code]],1))</f>
        <v>4</v>
      </c>
      <c r="K30" s="74" t="s">
        <v>106</v>
      </c>
      <c r="L30" s="78">
        <v>4.5999999999999996</v>
      </c>
      <c r="M30" s="91" t="s">
        <v>281</v>
      </c>
      <c r="N30" s="95"/>
      <c r="O30" s="73"/>
      <c r="P30" s="73"/>
      <c r="Q30" s="114" t="str">
        <f>IFERROR(VLOOKUP(tblDistrict_1[[#This Row],[Rating]],Guidance!$A$11:$C$15,3,0),"")</f>
        <v/>
      </c>
      <c r="R30"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30"/>
      <c r="W30"/>
      <c r="X30"/>
    </row>
    <row r="31" spans="1:24" ht="83.5" customHeight="1" x14ac:dyDescent="0.2">
      <c r="A31" s="12" t="str">
        <f>IF(Guidance!E27="","fill in name of country/state in guidance sheet",Guidance!E27)</f>
        <v>fill in name of country/state in guidance sheet</v>
      </c>
      <c r="B31" s="11" t="str">
        <f t="shared" si="0"/>
        <v/>
      </c>
      <c r="C31" s="12">
        <f t="shared" si="1"/>
        <v>2026</v>
      </c>
      <c r="D31" s="12" t="s">
        <v>92</v>
      </c>
      <c r="E31" s="1" t="str">
        <f t="shared" si="2"/>
        <v>Water; Sanitation; Hygiene; Schools</v>
      </c>
      <c r="F31" s="164"/>
      <c r="G31" s="164"/>
      <c r="H31" s="12" t="s">
        <v>100</v>
      </c>
      <c r="I31" s="12">
        <v>26</v>
      </c>
      <c r="J31" s="11" t="str">
        <f>IF(tblDistrict_1[[#This Row],[Code]]&gt;9.99,LEFT(tblDistrict_1[[#This Row],[Code]],2),LEFT(tblDistrict_1[[#This Row],[Code]],1))</f>
        <v>4</v>
      </c>
      <c r="K31" s="74" t="s">
        <v>106</v>
      </c>
      <c r="L31" s="76">
        <v>4.7</v>
      </c>
      <c r="M31" s="80" t="s">
        <v>282</v>
      </c>
      <c r="N31" s="95"/>
      <c r="O31" s="73"/>
      <c r="P31" s="73"/>
      <c r="Q31" s="114" t="str">
        <f>IFERROR(VLOOKUP(tblDistrict_1[[#This Row],[Rating]],Guidance!$A$11:$C$15,3,0),"")</f>
        <v/>
      </c>
      <c r="R31"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31"/>
      <c r="W31"/>
      <c r="X31"/>
    </row>
    <row r="32" spans="1:24" ht="83.5" customHeight="1" x14ac:dyDescent="0.2">
      <c r="A32" s="12" t="str">
        <f>IF(Guidance!E28="","fill in name of country/state in guidance sheet",Guidance!E28)</f>
        <v>fill in name of country/state in guidance sheet</v>
      </c>
      <c r="B32" s="11" t="str">
        <f t="shared" si="0"/>
        <v/>
      </c>
      <c r="C32" s="12">
        <f t="shared" si="1"/>
        <v>2026</v>
      </c>
      <c r="D32" s="12" t="s">
        <v>92</v>
      </c>
      <c r="E32" s="1" t="str">
        <f t="shared" si="2"/>
        <v>Water; Sanitation; Hygiene; Schools</v>
      </c>
      <c r="F32" s="164" t="s">
        <v>100</v>
      </c>
      <c r="G32" s="164"/>
      <c r="H32" s="12"/>
      <c r="I32" s="12">
        <v>27</v>
      </c>
      <c r="J32" s="11" t="str">
        <f>IF(tblDistrict_1[[#This Row],[Code]]&gt;9.99,LEFT(tblDistrict_1[[#This Row],[Code]],2),LEFT(tblDistrict_1[[#This Row],[Code]],1))</f>
        <v>4</v>
      </c>
      <c r="K32" s="74" t="s">
        <v>106</v>
      </c>
      <c r="L32" s="78">
        <v>4.8</v>
      </c>
      <c r="M32" s="80" t="s">
        <v>283</v>
      </c>
      <c r="N32" s="95"/>
      <c r="O32" s="73"/>
      <c r="P32" s="73"/>
      <c r="Q32" s="122" t="str">
        <f>IFERROR(VLOOKUP(tblDistrict_1[[#This Row],[Rating]],Guidance!$A$11:$C$15,3,0),"")</f>
        <v/>
      </c>
      <c r="R32" s="116"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32"/>
      <c r="W32"/>
      <c r="X32"/>
    </row>
    <row r="33" spans="1:24" ht="83.5" customHeight="1" x14ac:dyDescent="0.2">
      <c r="A33" s="12" t="str">
        <f>IF(Guidance!E29="","fill in name of country/state in guidance sheet",Guidance!E29)</f>
        <v>fill in name of country/state in guidance sheet</v>
      </c>
      <c r="B33" s="11" t="str">
        <f t="shared" si="0"/>
        <v/>
      </c>
      <c r="C33" s="12">
        <f t="shared" si="1"/>
        <v>2026</v>
      </c>
      <c r="D33" s="12" t="s">
        <v>86</v>
      </c>
      <c r="E33" s="1" t="str">
        <f t="shared" si="2"/>
        <v>Water; Sanitation; Hygiene; Schools</v>
      </c>
      <c r="F33" s="164"/>
      <c r="G33" s="164"/>
      <c r="H33" s="12"/>
      <c r="I33" s="12">
        <v>28</v>
      </c>
      <c r="J33" s="11" t="str">
        <f>IF(tblDistrict_1[[#This Row],[Code]]&gt;9.99,LEFT(tblDistrict_1[[#This Row],[Code]],2),LEFT(tblDistrict_1[[#This Row],[Code]],1))</f>
        <v>5</v>
      </c>
      <c r="K33" s="133" t="s">
        <v>108</v>
      </c>
      <c r="L33" s="139">
        <v>5</v>
      </c>
      <c r="M33" s="134" t="s">
        <v>136</v>
      </c>
      <c r="N33" s="123"/>
      <c r="O33" s="126"/>
      <c r="P33" s="126"/>
      <c r="Q33" s="124" t="str">
        <f>IFERROR(VLOOKUP(tblDistrict_1[[#This Row],[Rating]],Guidance!$A$11:$C$15,3,0),"")</f>
        <v/>
      </c>
      <c r="R33"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33"/>
      <c r="W33"/>
      <c r="X33"/>
    </row>
    <row r="34" spans="1:24" ht="83.5" customHeight="1" x14ac:dyDescent="0.2">
      <c r="A34" s="12" t="str">
        <f>IF(Guidance!E30="","fill in name of country/state in guidance sheet",Guidance!E30)</f>
        <v>fill in name of country/state in guidance sheet</v>
      </c>
      <c r="B34" s="11" t="str">
        <f t="shared" si="0"/>
        <v/>
      </c>
      <c r="C34" s="12">
        <f t="shared" si="1"/>
        <v>2026</v>
      </c>
      <c r="D34" s="12" t="s">
        <v>92</v>
      </c>
      <c r="E34" s="1" t="str">
        <f t="shared" si="2"/>
        <v>Water; Sanitation; Hygiene; Schools</v>
      </c>
      <c r="F34" s="164"/>
      <c r="G34" s="164" t="s">
        <v>100</v>
      </c>
      <c r="H34" s="12"/>
      <c r="I34" s="12">
        <v>29</v>
      </c>
      <c r="J34" s="11" t="str">
        <f>IF(tblDistrict_1[[#This Row],[Code]]&gt;9.99,LEFT(tblDistrict_1[[#This Row],[Code]],2),LEFT(tblDistrict_1[[#This Row],[Code]],1))</f>
        <v>5</v>
      </c>
      <c r="K34" s="74" t="s">
        <v>108</v>
      </c>
      <c r="L34" s="78">
        <v>5.0999999999999996</v>
      </c>
      <c r="M34" s="80" t="s">
        <v>284</v>
      </c>
      <c r="N34" s="95"/>
      <c r="O34" s="73"/>
      <c r="P34" s="73"/>
      <c r="Q34" s="128" t="str">
        <f>IFERROR(VLOOKUP(tblDistrict_1[[#This Row],[Rating]],Guidance!$A$11:$C$15,3,0),"")</f>
        <v/>
      </c>
      <c r="R34"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34"/>
      <c r="W34"/>
      <c r="X34"/>
    </row>
    <row r="35" spans="1:24" ht="83.5" customHeight="1" x14ac:dyDescent="0.2">
      <c r="A35" s="12" t="str">
        <f>IF(Guidance!E31="","fill in name of country/state in guidance sheet",Guidance!E31)</f>
        <v>fill in name of country/state in guidance sheet</v>
      </c>
      <c r="B35" s="11" t="str">
        <f t="shared" si="0"/>
        <v/>
      </c>
      <c r="C35" s="12">
        <f t="shared" si="1"/>
        <v>2026</v>
      </c>
      <c r="D35" s="12" t="s">
        <v>92</v>
      </c>
      <c r="E35" s="1" t="str">
        <f t="shared" si="2"/>
        <v>Water; Sanitation; Hygiene; Schools</v>
      </c>
      <c r="F35" s="164"/>
      <c r="G35" s="164"/>
      <c r="H35" s="12"/>
      <c r="I35" s="12">
        <v>30</v>
      </c>
      <c r="J35" s="11" t="str">
        <f>IF(tblDistrict_1[[#This Row],[Code]]&gt;9.99,LEFT(tblDistrict_1[[#This Row],[Code]],2),LEFT(tblDistrict_1[[#This Row],[Code]],1))</f>
        <v>5</v>
      </c>
      <c r="K35" s="74" t="s">
        <v>108</v>
      </c>
      <c r="L35" s="76">
        <v>5.2</v>
      </c>
      <c r="M35" s="79" t="s">
        <v>285</v>
      </c>
      <c r="N35" s="95"/>
      <c r="O35" s="73"/>
      <c r="P35" s="73"/>
      <c r="Q35" s="118" t="str">
        <f>IFERROR(VLOOKUP(tblDistrict_1[[#This Row],[Rating]],Guidance!$A$11:$C$15,3,0),"")</f>
        <v/>
      </c>
      <c r="R35"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35"/>
      <c r="W35"/>
      <c r="X35"/>
    </row>
    <row r="36" spans="1:24" ht="83.5" customHeight="1" x14ac:dyDescent="0.2">
      <c r="A36" s="12" t="str">
        <f>IF(Guidance!E32="","fill in name of country/state in guidance sheet",Guidance!E32)</f>
        <v>fill in name of country/state in guidance sheet</v>
      </c>
      <c r="B36" s="11" t="str">
        <f t="shared" si="0"/>
        <v/>
      </c>
      <c r="C36" s="12">
        <f t="shared" si="1"/>
        <v>2026</v>
      </c>
      <c r="D36" s="12" t="s">
        <v>92</v>
      </c>
      <c r="E36" s="1" t="str">
        <f t="shared" si="2"/>
        <v>Water; Sanitation; Hygiene; Schools</v>
      </c>
      <c r="F36" s="164"/>
      <c r="G36" s="164"/>
      <c r="H36" s="12"/>
      <c r="I36" s="12">
        <v>31</v>
      </c>
      <c r="J36" s="11" t="str">
        <f>IF(tblDistrict_1[[#This Row],[Code]]&gt;9.99,LEFT(tblDistrict_1[[#This Row],[Code]],2),LEFT(tblDistrict_1[[#This Row],[Code]],1))</f>
        <v>5</v>
      </c>
      <c r="K36" s="74" t="s">
        <v>108</v>
      </c>
      <c r="L36" s="76">
        <v>5.3</v>
      </c>
      <c r="M36" s="77" t="s">
        <v>139</v>
      </c>
      <c r="N36" s="95"/>
      <c r="O36" s="111"/>
      <c r="P36" s="112"/>
      <c r="Q36" s="118" t="str">
        <f>IFERROR(VLOOKUP(tblDistrict_1[[#This Row],[Rating]],Guidance!$A$11:$C$15,3,0),"")</f>
        <v/>
      </c>
      <c r="R36"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36"/>
      <c r="W36"/>
      <c r="X36"/>
    </row>
    <row r="37" spans="1:24" ht="83.5" customHeight="1" x14ac:dyDescent="0.2">
      <c r="A37" s="12" t="str">
        <f>IF(Guidance!E33="","fill in name of country/state in guidance sheet",Guidance!E33)</f>
        <v>fill in name of country/state in guidance sheet</v>
      </c>
      <c r="B37" s="11" t="str">
        <f t="shared" si="0"/>
        <v/>
      </c>
      <c r="C37" s="12">
        <f t="shared" ref="C37:C68" si="5">Year</f>
        <v>2026</v>
      </c>
      <c r="D37" s="12" t="s">
        <v>92</v>
      </c>
      <c r="E37" s="1" t="str">
        <f t="shared" si="2"/>
        <v>Water; Sanitation; Hygiene; Schools</v>
      </c>
      <c r="F37" s="164"/>
      <c r="G37" s="164"/>
      <c r="H37" s="12"/>
      <c r="I37" s="12">
        <v>32</v>
      </c>
      <c r="J37" s="11" t="str">
        <f>IF(tblDistrict_1[[#This Row],[Code]]&gt;9.99,LEFT(tblDistrict_1[[#This Row],[Code]],2),LEFT(tblDistrict_1[[#This Row],[Code]],1))</f>
        <v>5</v>
      </c>
      <c r="K37" s="74" t="s">
        <v>108</v>
      </c>
      <c r="L37" s="76">
        <v>5.4</v>
      </c>
      <c r="M37" s="80" t="s">
        <v>286</v>
      </c>
      <c r="N37" s="95"/>
      <c r="O37" s="73"/>
      <c r="P37" s="73"/>
      <c r="Q37" s="118" t="str">
        <f>IFERROR(VLOOKUP(tblDistrict_1[[#This Row],[Rating]],Guidance!$A$11:$C$15,3,0),"")</f>
        <v/>
      </c>
      <c r="R37"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37"/>
      <c r="W37"/>
      <c r="X37"/>
    </row>
    <row r="38" spans="1:24" ht="83.5" customHeight="1" x14ac:dyDescent="0.2">
      <c r="A38" s="12" t="str">
        <f>IF(Guidance!E34="","fill in name of country/state in guidance sheet",Guidance!E34)</f>
        <v>fill in name of country/state in guidance sheet</v>
      </c>
      <c r="B38" s="11" t="str">
        <f t="shared" si="0"/>
        <v/>
      </c>
      <c r="C38" s="12">
        <f t="shared" si="5"/>
        <v>2026</v>
      </c>
      <c r="D38" s="12" t="s">
        <v>92</v>
      </c>
      <c r="E38" s="1" t="str">
        <f t="shared" si="2"/>
        <v>Water; Sanitation; Hygiene; Schools</v>
      </c>
      <c r="F38" s="164"/>
      <c r="G38" s="164"/>
      <c r="H38" s="164" t="s">
        <v>100</v>
      </c>
      <c r="I38" s="12">
        <v>33</v>
      </c>
      <c r="J38" s="11" t="str">
        <f>IF(tblDistrict_1[[#This Row],[Code]]&gt;9.99,LEFT(tblDistrict_1[[#This Row],[Code]],2),LEFT(tblDistrict_1[[#This Row],[Code]],1))</f>
        <v>5</v>
      </c>
      <c r="K38" s="74" t="s">
        <v>108</v>
      </c>
      <c r="L38" s="76">
        <v>5.5</v>
      </c>
      <c r="M38" s="81" t="s">
        <v>287</v>
      </c>
      <c r="N38" s="95"/>
      <c r="O38" s="73"/>
      <c r="P38" s="73"/>
      <c r="Q38" s="118" t="str">
        <f>IFERROR(VLOOKUP(tblDistrict_1[[#This Row],[Rating]],Guidance!$A$11:$C$15,3,0),"")</f>
        <v/>
      </c>
      <c r="R38"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38"/>
      <c r="W38"/>
      <c r="X38"/>
    </row>
    <row r="39" spans="1:24" ht="83.5" customHeight="1" x14ac:dyDescent="0.2">
      <c r="A39" s="12" t="str">
        <f>IF(Guidance!E35="","fill in name of country/state in guidance sheet",Guidance!E35)</f>
        <v>fill in name of country/state in guidance sheet</v>
      </c>
      <c r="B39" s="11" t="str">
        <f t="shared" si="0"/>
        <v/>
      </c>
      <c r="C39" s="12">
        <f t="shared" si="5"/>
        <v>2026</v>
      </c>
      <c r="D39" s="12" t="s">
        <v>92</v>
      </c>
      <c r="E39" s="1" t="str">
        <f t="shared" si="2"/>
        <v>Water; Sanitation; Hygiene; Schools</v>
      </c>
      <c r="F39" s="164" t="s">
        <v>100</v>
      </c>
      <c r="G39" s="164"/>
      <c r="H39" s="12"/>
      <c r="I39" s="12">
        <v>34</v>
      </c>
      <c r="J39" s="11" t="str">
        <f>IF(tblDistrict_1[[#This Row],[Code]]&gt;9.99,LEFT(tblDistrict_1[[#This Row],[Code]],2),LEFT(tblDistrict_1[[#This Row],[Code]],1))</f>
        <v>5</v>
      </c>
      <c r="K39" s="74" t="s">
        <v>108</v>
      </c>
      <c r="L39" s="76">
        <v>5.6</v>
      </c>
      <c r="M39" s="79" t="s">
        <v>288</v>
      </c>
      <c r="N39" s="95"/>
      <c r="O39" s="73"/>
      <c r="P39" s="73"/>
      <c r="Q39" s="120" t="str">
        <f>IFERROR(VLOOKUP(tblDistrict_1[[#This Row],[Rating]],Guidance!$A$11:$C$15,3,0),"")</f>
        <v/>
      </c>
      <c r="R39" s="116"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39"/>
      <c r="W39"/>
      <c r="X39"/>
    </row>
    <row r="40" spans="1:24" ht="83.5" customHeight="1" x14ac:dyDescent="0.2">
      <c r="A40" s="12" t="str">
        <f>IF(Guidance!E36="","fill in name of country/state in guidance sheet",Guidance!E36)</f>
        <v>fill in name of country/state in guidance sheet</v>
      </c>
      <c r="B40" s="11" t="str">
        <f t="shared" ref="B40:B74" si="6">IF($P$1="","",$P$1)</f>
        <v/>
      </c>
      <c r="C40" s="12">
        <f t="shared" si="5"/>
        <v>2026</v>
      </c>
      <c r="D40" s="12" t="s">
        <v>86</v>
      </c>
      <c r="E40" s="1" t="str">
        <f t="shared" ref="E40:E74" si="7">$P$2</f>
        <v>Water; Sanitation; Hygiene; Schools</v>
      </c>
      <c r="F40" s="164"/>
      <c r="G40" s="164"/>
      <c r="H40" s="12"/>
      <c r="I40" s="12">
        <v>35</v>
      </c>
      <c r="J40" s="11" t="str">
        <f>IF(tblDistrict_1[[#This Row],[Code]]&gt;9.99,LEFT(tblDistrict_1[[#This Row],[Code]],2),LEFT(tblDistrict_1[[#This Row],[Code]],1))</f>
        <v>6</v>
      </c>
      <c r="K40" s="133" t="s">
        <v>110</v>
      </c>
      <c r="L40" s="139">
        <v>6</v>
      </c>
      <c r="M40" s="134" t="s">
        <v>143</v>
      </c>
      <c r="N40" s="123"/>
      <c r="O40" s="126"/>
      <c r="P40" s="126"/>
      <c r="Q40" s="124" t="str">
        <f>IFERROR(VLOOKUP(tblDistrict_1[[#This Row],[Rating]],Guidance!$A$11:$C$15,3,0),"")</f>
        <v/>
      </c>
      <c r="R40"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40"/>
      <c r="W40"/>
      <c r="X40"/>
    </row>
    <row r="41" spans="1:24" ht="83.5" customHeight="1" x14ac:dyDescent="0.2">
      <c r="A41" s="12" t="str">
        <f>IF(Guidance!E37="","fill in name of country/state in guidance sheet",Guidance!E37)</f>
        <v>fill in name of country/state in guidance sheet</v>
      </c>
      <c r="B41" s="11" t="str">
        <f t="shared" si="6"/>
        <v/>
      </c>
      <c r="C41" s="12">
        <f t="shared" si="5"/>
        <v>2026</v>
      </c>
      <c r="D41" s="12" t="s">
        <v>92</v>
      </c>
      <c r="E41" s="1" t="str">
        <f t="shared" si="7"/>
        <v>Water; Sanitation; Hygiene; Schools</v>
      </c>
      <c r="F41" s="164"/>
      <c r="G41" s="164"/>
      <c r="H41" s="12"/>
      <c r="I41" s="12">
        <v>36</v>
      </c>
      <c r="J41" s="11" t="str">
        <f>IF(tblDistrict_1[[#This Row],[Code]]&gt;9.99,LEFT(tblDistrict_1[[#This Row],[Code]],2),LEFT(tblDistrict_1[[#This Row],[Code]],1))</f>
        <v>6</v>
      </c>
      <c r="K41" s="74" t="s">
        <v>110</v>
      </c>
      <c r="L41" s="76">
        <v>6.1</v>
      </c>
      <c r="M41" s="81" t="s">
        <v>289</v>
      </c>
      <c r="N41" s="95"/>
      <c r="O41" s="73"/>
      <c r="P41" s="73"/>
      <c r="Q41" s="129" t="str">
        <f>IFERROR(VLOOKUP(tblDistrict_1[[#This Row],[Rating]],Guidance!$A$11:$C$15,3,0),"")</f>
        <v/>
      </c>
      <c r="R41" s="117"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41"/>
      <c r="W41"/>
      <c r="X41"/>
    </row>
    <row r="42" spans="1:24" ht="83.5" customHeight="1" x14ac:dyDescent="0.2">
      <c r="A42" s="12" t="str">
        <f>IF(Guidance!E38="","fill in name of country/state in guidance sheet",Guidance!E38)</f>
        <v>fill in name of country/state in guidance sheet</v>
      </c>
      <c r="B42" s="11" t="str">
        <f t="shared" si="6"/>
        <v/>
      </c>
      <c r="C42" s="12">
        <f t="shared" si="5"/>
        <v>2026</v>
      </c>
      <c r="D42" s="12" t="s">
        <v>92</v>
      </c>
      <c r="E42" s="1" t="str">
        <f t="shared" si="7"/>
        <v>Water; Sanitation; Hygiene; Schools</v>
      </c>
      <c r="F42" s="164"/>
      <c r="G42" s="164" t="s">
        <v>100</v>
      </c>
      <c r="H42" s="12"/>
      <c r="I42" s="12">
        <v>37</v>
      </c>
      <c r="J42" s="11" t="str">
        <f>IF(tblDistrict_1[[#This Row],[Code]]&gt;9.99,LEFT(tblDistrict_1[[#This Row],[Code]],2),LEFT(tblDistrict_1[[#This Row],[Code]],1))</f>
        <v>6</v>
      </c>
      <c r="K42" s="74" t="s">
        <v>110</v>
      </c>
      <c r="L42" s="76">
        <v>6.2</v>
      </c>
      <c r="M42" s="80" t="s">
        <v>290</v>
      </c>
      <c r="N42" s="95"/>
      <c r="O42" s="73"/>
      <c r="P42" s="73"/>
      <c r="Q42" s="119" t="str">
        <f>IFERROR(VLOOKUP(tblDistrict_1[[#This Row],[Rating]],Guidance!$A$11:$C$15,3,0),"")</f>
        <v/>
      </c>
      <c r="R42"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42"/>
      <c r="W42"/>
      <c r="X42"/>
    </row>
    <row r="43" spans="1:24" ht="83.5" customHeight="1" x14ac:dyDescent="0.2">
      <c r="A43" s="12" t="str">
        <f>IF(Guidance!E39="","fill in name of country/state in guidance sheet",Guidance!E39)</f>
        <v>fill in name of country/state in guidance sheet</v>
      </c>
      <c r="B43" s="11" t="str">
        <f t="shared" si="6"/>
        <v/>
      </c>
      <c r="C43" s="12">
        <f t="shared" si="5"/>
        <v>2026</v>
      </c>
      <c r="D43" s="12" t="s">
        <v>92</v>
      </c>
      <c r="E43" s="1" t="str">
        <f t="shared" si="7"/>
        <v>Water; Sanitation; Hygiene; Schools</v>
      </c>
      <c r="F43" s="164"/>
      <c r="G43" s="164"/>
      <c r="H43" s="12"/>
      <c r="I43" s="12">
        <v>38</v>
      </c>
      <c r="J43" s="11" t="str">
        <f>IF(tblDistrict_1[[#This Row],[Code]]&gt;9.99,LEFT(tblDistrict_1[[#This Row],[Code]],2),LEFT(tblDistrict_1[[#This Row],[Code]],1))</f>
        <v>6</v>
      </c>
      <c r="K43" s="74" t="s">
        <v>110</v>
      </c>
      <c r="L43" s="76">
        <v>6.3</v>
      </c>
      <c r="M43" s="77" t="s">
        <v>291</v>
      </c>
      <c r="N43" s="95"/>
      <c r="O43" s="111"/>
      <c r="P43" s="112"/>
      <c r="Q43" s="119" t="str">
        <f>IFERROR(VLOOKUP(tblDistrict_1[[#This Row],[Rating]],Guidance!$A$11:$C$15,3,0),"")</f>
        <v/>
      </c>
      <c r="R43"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43"/>
      <c r="W43"/>
      <c r="X43"/>
    </row>
    <row r="44" spans="1:24" ht="83.5" customHeight="1" x14ac:dyDescent="0.2">
      <c r="A44" s="12" t="str">
        <f>IF(Guidance!E40="","fill in name of country/state in guidance sheet",Guidance!E40)</f>
        <v>fill in name of country/state in guidance sheet</v>
      </c>
      <c r="B44" s="11" t="str">
        <f t="shared" si="6"/>
        <v/>
      </c>
      <c r="C44" s="12">
        <f t="shared" si="5"/>
        <v>2026</v>
      </c>
      <c r="D44" s="12" t="s">
        <v>92</v>
      </c>
      <c r="E44" s="1" t="str">
        <f t="shared" si="7"/>
        <v>Water; Sanitation; Hygiene; Schools</v>
      </c>
      <c r="F44" s="164"/>
      <c r="G44" s="164"/>
      <c r="H44" s="12"/>
      <c r="I44" s="12">
        <v>39</v>
      </c>
      <c r="J44" s="11" t="str">
        <f>IF(tblDistrict_1[[#This Row],[Code]]&gt;9.99,LEFT(tblDistrict_1[[#This Row],[Code]],2),LEFT(tblDistrict_1[[#This Row],[Code]],1))</f>
        <v>6</v>
      </c>
      <c r="K44" s="74" t="s">
        <v>110</v>
      </c>
      <c r="L44" s="76">
        <v>6.4</v>
      </c>
      <c r="M44" s="79" t="s">
        <v>292</v>
      </c>
      <c r="N44" s="95"/>
      <c r="O44" s="73"/>
      <c r="P44" s="73"/>
      <c r="Q44" s="119" t="str">
        <f>IFERROR(VLOOKUP(tblDistrict_1[[#This Row],[Rating]],Guidance!$A$11:$C$15,3,0),"")</f>
        <v/>
      </c>
      <c r="R44"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44"/>
      <c r="W44"/>
      <c r="X44"/>
    </row>
    <row r="45" spans="1:24" ht="83.5" customHeight="1" x14ac:dyDescent="0.2">
      <c r="A45" s="12" t="str">
        <f>IF(Guidance!E41="","fill in name of country/state in guidance sheet",Guidance!E41)</f>
        <v>fill in name of country/state in guidance sheet</v>
      </c>
      <c r="B45" s="11" t="str">
        <f t="shared" si="6"/>
        <v/>
      </c>
      <c r="C45" s="12">
        <f t="shared" si="5"/>
        <v>2026</v>
      </c>
      <c r="D45" s="12" t="s">
        <v>92</v>
      </c>
      <c r="E45" s="1" t="str">
        <f t="shared" si="7"/>
        <v>Water; Sanitation; Hygiene; Schools</v>
      </c>
      <c r="F45" s="164"/>
      <c r="G45" s="164"/>
      <c r="H45" s="12"/>
      <c r="I45" s="12">
        <v>40</v>
      </c>
      <c r="J45" s="11" t="str">
        <f>IF(tblDistrict_1[[#This Row],[Code]]&gt;9.99,LEFT(tblDistrict_1[[#This Row],[Code]],2),LEFT(tblDistrict_1[[#This Row],[Code]],1))</f>
        <v>6</v>
      </c>
      <c r="K45" s="74" t="s">
        <v>110</v>
      </c>
      <c r="L45" s="78">
        <v>6.5</v>
      </c>
      <c r="M45" s="79" t="s">
        <v>293</v>
      </c>
      <c r="N45" s="95"/>
      <c r="O45" s="73"/>
      <c r="P45" s="73"/>
      <c r="Q45" s="119" t="str">
        <f>IFERROR(VLOOKUP(tblDistrict_1[[#This Row],[Rating]],Guidance!$A$11:$C$15,3,0),"")</f>
        <v/>
      </c>
      <c r="R45"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45"/>
      <c r="W45"/>
      <c r="X45"/>
    </row>
    <row r="46" spans="1:24" ht="83.5" customHeight="1" x14ac:dyDescent="0.2">
      <c r="A46" s="12" t="str">
        <f>IF(Guidance!E42="","fill in name of country/state in guidance sheet",Guidance!E42)</f>
        <v>fill in name of country/state in guidance sheet</v>
      </c>
      <c r="B46" s="11" t="str">
        <f t="shared" si="6"/>
        <v/>
      </c>
      <c r="C46" s="12">
        <f t="shared" si="5"/>
        <v>2026</v>
      </c>
      <c r="D46" s="12" t="s">
        <v>92</v>
      </c>
      <c r="E46" s="1" t="str">
        <f t="shared" si="7"/>
        <v>Water; Sanitation; Hygiene; Schools</v>
      </c>
      <c r="F46" s="164"/>
      <c r="G46" s="164"/>
      <c r="H46" s="12" t="s">
        <v>100</v>
      </c>
      <c r="I46" s="12">
        <v>41</v>
      </c>
      <c r="J46" s="11" t="str">
        <f>IF(tblDistrict_1[[#This Row],[Code]]&gt;9.99,LEFT(tblDistrict_1[[#This Row],[Code]],2),LEFT(tblDistrict_1[[#This Row],[Code]],1))</f>
        <v>6</v>
      </c>
      <c r="K46" s="74" t="s">
        <v>110</v>
      </c>
      <c r="L46" s="76">
        <v>6.6</v>
      </c>
      <c r="M46" s="91" t="s">
        <v>294</v>
      </c>
      <c r="N46" s="95"/>
      <c r="O46" s="73"/>
      <c r="P46" s="73"/>
      <c r="Q46" s="119" t="str">
        <f>IFERROR(VLOOKUP(tblDistrict_1[[#This Row],[Rating]],Guidance!$A$11:$C$15,3,0),"")</f>
        <v/>
      </c>
      <c r="R46"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46"/>
      <c r="W46"/>
      <c r="X46"/>
    </row>
    <row r="47" spans="1:24" ht="83.5" customHeight="1" x14ac:dyDescent="0.2">
      <c r="A47" s="12" t="str">
        <f>IF(Guidance!E43="","fill in name of country/state in guidance sheet",Guidance!E43)</f>
        <v>fill in name of country/state in guidance sheet</v>
      </c>
      <c r="B47" s="11" t="str">
        <f t="shared" si="6"/>
        <v/>
      </c>
      <c r="C47" s="12">
        <f t="shared" si="5"/>
        <v>2026</v>
      </c>
      <c r="D47" s="12" t="s">
        <v>92</v>
      </c>
      <c r="E47" s="1" t="str">
        <f t="shared" si="7"/>
        <v>Water; Sanitation; Hygiene; Schools</v>
      </c>
      <c r="F47" s="164" t="s">
        <v>100</v>
      </c>
      <c r="G47" s="164"/>
      <c r="H47" s="12"/>
      <c r="I47" s="12">
        <v>42</v>
      </c>
      <c r="J47" s="11" t="str">
        <f>IF(tblDistrict_1[[#This Row],[Code]]&gt;9.99,LEFT(tblDistrict_1[[#This Row],[Code]],2),LEFT(tblDistrict_1[[#This Row],[Code]],1))</f>
        <v>6</v>
      </c>
      <c r="K47" s="74" t="s">
        <v>110</v>
      </c>
      <c r="L47" s="78">
        <v>6.7</v>
      </c>
      <c r="M47" s="80" t="s">
        <v>295</v>
      </c>
      <c r="N47" s="95"/>
      <c r="O47" s="73"/>
      <c r="P47" s="73"/>
      <c r="Q47" s="121" t="str">
        <f>IFERROR(VLOOKUP(tblDistrict_1[[#This Row],[Rating]],Guidance!$A$11:$C$15,3,0),"")</f>
        <v/>
      </c>
      <c r="R47" s="116"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47"/>
      <c r="W47"/>
      <c r="X47"/>
    </row>
    <row r="48" spans="1:24" ht="83.5" customHeight="1" x14ac:dyDescent="0.2">
      <c r="A48" s="12" t="str">
        <f>IF(Guidance!E44="","fill in name of country/state in guidance sheet",Guidance!E44)</f>
        <v>fill in name of country/state in guidance sheet</v>
      </c>
      <c r="B48" s="11" t="str">
        <f t="shared" si="6"/>
        <v/>
      </c>
      <c r="C48" s="12">
        <f t="shared" si="5"/>
        <v>2026</v>
      </c>
      <c r="D48" s="12" t="s">
        <v>86</v>
      </c>
      <c r="E48" s="1" t="str">
        <f t="shared" si="7"/>
        <v>Water; Sanitation; Hygiene; Schools</v>
      </c>
      <c r="F48" s="164"/>
      <c r="G48" s="164"/>
      <c r="H48" s="12"/>
      <c r="I48" s="12">
        <v>43</v>
      </c>
      <c r="J48" s="11" t="str">
        <f>IF(tblDistrict_1[[#This Row],[Code]]&gt;9.99,LEFT(tblDistrict_1[[#This Row],[Code]],2),LEFT(tblDistrict_1[[#This Row],[Code]],1))</f>
        <v>7</v>
      </c>
      <c r="K48" s="133" t="s">
        <v>112</v>
      </c>
      <c r="L48" s="139">
        <v>7</v>
      </c>
      <c r="M48" s="134" t="s">
        <v>151</v>
      </c>
      <c r="N48" s="123"/>
      <c r="O48" s="126"/>
      <c r="P48" s="126"/>
      <c r="Q48" s="124" t="str">
        <f>IFERROR(VLOOKUP(tblDistrict_1[[#This Row],[Rating]],Guidance!$A$11:$C$15,3,0),"")</f>
        <v/>
      </c>
      <c r="R48"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48"/>
      <c r="W48"/>
      <c r="X48"/>
    </row>
    <row r="49" spans="1:24" ht="83.5" customHeight="1" x14ac:dyDescent="0.2">
      <c r="A49" s="12" t="str">
        <f>IF(Guidance!E45="","fill in name of country/state in guidance sheet",Guidance!E45)</f>
        <v>fill in name of country/state in guidance sheet</v>
      </c>
      <c r="B49" s="11" t="str">
        <f t="shared" si="6"/>
        <v/>
      </c>
      <c r="C49" s="12">
        <f t="shared" si="5"/>
        <v>2026</v>
      </c>
      <c r="D49" s="12" t="s">
        <v>92</v>
      </c>
      <c r="E49" s="1" t="str">
        <f t="shared" si="7"/>
        <v>Water; Sanitation; Hygiene; Schools</v>
      </c>
      <c r="F49" s="164"/>
      <c r="G49" s="164"/>
      <c r="H49" s="12"/>
      <c r="I49" s="12">
        <v>44</v>
      </c>
      <c r="J49" s="11" t="str">
        <f>IF(tblDistrict_1[[#This Row],[Code]]&gt;9.99,LEFT(tblDistrict_1[[#This Row],[Code]],2),LEFT(tblDistrict_1[[#This Row],[Code]],1))</f>
        <v>7</v>
      </c>
      <c r="K49" s="74" t="s">
        <v>112</v>
      </c>
      <c r="L49" s="78">
        <v>7.1</v>
      </c>
      <c r="M49" s="80" t="s">
        <v>296</v>
      </c>
      <c r="N49" s="95"/>
      <c r="O49" s="73"/>
      <c r="P49" s="73"/>
      <c r="Q49" s="129" t="str">
        <f>IFERROR(VLOOKUP(tblDistrict_1[[#This Row],[Rating]],Guidance!$A$11:$C$15,3,0),"")</f>
        <v/>
      </c>
      <c r="R49"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49"/>
      <c r="W49"/>
      <c r="X49"/>
    </row>
    <row r="50" spans="1:24" ht="83.5" customHeight="1" x14ac:dyDescent="0.2">
      <c r="A50" s="12" t="str">
        <f>IF(Guidance!E46="","fill in name of country/state in guidance sheet",Guidance!E46)</f>
        <v>fill in name of country/state in guidance sheet</v>
      </c>
      <c r="B50" s="11" t="str">
        <f t="shared" si="6"/>
        <v/>
      </c>
      <c r="C50" s="12">
        <f t="shared" si="5"/>
        <v>2026</v>
      </c>
      <c r="D50" s="12" t="s">
        <v>92</v>
      </c>
      <c r="E50" s="1" t="str">
        <f t="shared" si="7"/>
        <v>Water; Sanitation; Hygiene; Schools</v>
      </c>
      <c r="F50" s="164"/>
      <c r="G50" s="164"/>
      <c r="H50" s="12"/>
      <c r="I50" s="12">
        <v>45</v>
      </c>
      <c r="J50" s="11" t="str">
        <f>IF(tblDistrict_1[[#This Row],[Code]]&gt;9.99,LEFT(tblDistrict_1[[#This Row],[Code]],2),LEFT(tblDistrict_1[[#This Row],[Code]],1))</f>
        <v>7</v>
      </c>
      <c r="K50" s="74" t="s">
        <v>112</v>
      </c>
      <c r="L50" s="76">
        <v>7.2</v>
      </c>
      <c r="M50" s="80" t="s">
        <v>297</v>
      </c>
      <c r="N50" s="95"/>
      <c r="O50" s="73"/>
      <c r="P50" s="73"/>
      <c r="Q50" s="119" t="str">
        <f>IFERROR(VLOOKUP(tblDistrict_1[[#This Row],[Rating]],Guidance!$A$11:$C$15,3,0),"")</f>
        <v/>
      </c>
      <c r="R50"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50"/>
      <c r="W50"/>
      <c r="X50"/>
    </row>
    <row r="51" spans="1:24" ht="83.5" customHeight="1" x14ac:dyDescent="0.2">
      <c r="A51" s="12" t="str">
        <f>IF(Guidance!E47="","fill in name of country/state in guidance sheet",Guidance!E47)</f>
        <v>fill in name of country/state in guidance sheet</v>
      </c>
      <c r="B51" s="11" t="str">
        <f t="shared" si="6"/>
        <v/>
      </c>
      <c r="C51" s="12">
        <f t="shared" si="5"/>
        <v>2026</v>
      </c>
      <c r="D51" s="12" t="s">
        <v>92</v>
      </c>
      <c r="E51" s="1" t="str">
        <f t="shared" si="7"/>
        <v>Water; Sanitation; Hygiene; Schools</v>
      </c>
      <c r="F51" s="164"/>
      <c r="G51" s="164"/>
      <c r="H51" s="12"/>
      <c r="I51" s="12">
        <v>46</v>
      </c>
      <c r="J51" s="11" t="str">
        <f>IF(tblDistrict_1[[#This Row],[Code]]&gt;9.99,LEFT(tblDistrict_1[[#This Row],[Code]],2),LEFT(tblDistrict_1[[#This Row],[Code]],1))</f>
        <v>7</v>
      </c>
      <c r="K51" s="74" t="s">
        <v>112</v>
      </c>
      <c r="L51" s="76">
        <v>7.3</v>
      </c>
      <c r="M51" s="77" t="s">
        <v>298</v>
      </c>
      <c r="N51" s="95"/>
      <c r="O51" s="111"/>
      <c r="P51" s="112"/>
      <c r="Q51" s="119" t="str">
        <f>IFERROR(VLOOKUP(tblDistrict_1[[#This Row],[Rating]],Guidance!$A$11:$C$15,3,0),"")</f>
        <v/>
      </c>
      <c r="R51"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51"/>
      <c r="W51"/>
      <c r="X51"/>
    </row>
    <row r="52" spans="1:24" ht="83.5" customHeight="1" x14ac:dyDescent="0.2">
      <c r="A52" s="12" t="str">
        <f>IF(Guidance!E48="","fill in name of country/state in guidance sheet",Guidance!E48)</f>
        <v>fill in name of country/state in guidance sheet</v>
      </c>
      <c r="B52" s="11" t="str">
        <f t="shared" si="6"/>
        <v/>
      </c>
      <c r="C52" s="12">
        <f t="shared" si="5"/>
        <v>2026</v>
      </c>
      <c r="D52" s="12" t="s">
        <v>92</v>
      </c>
      <c r="E52" s="1" t="str">
        <f t="shared" si="7"/>
        <v>Water; Sanitation; Hygiene; Schools</v>
      </c>
      <c r="F52" s="164"/>
      <c r="G52" s="164"/>
      <c r="H52" s="164" t="s">
        <v>100</v>
      </c>
      <c r="I52" s="12">
        <v>47</v>
      </c>
      <c r="J52" s="11" t="str">
        <f>IF(tblDistrict_1[[#This Row],[Code]]&gt;9.99,LEFT(tblDistrict_1[[#This Row],[Code]],2),LEFT(tblDistrict_1[[#This Row],[Code]],1))</f>
        <v>7</v>
      </c>
      <c r="K52" s="74" t="s">
        <v>112</v>
      </c>
      <c r="L52" s="76">
        <v>7.4</v>
      </c>
      <c r="M52" s="81" t="s">
        <v>299</v>
      </c>
      <c r="N52" s="95"/>
      <c r="O52" s="73"/>
      <c r="P52" s="73"/>
      <c r="Q52" s="119" t="str">
        <f>IFERROR(VLOOKUP(tblDistrict_1[[#This Row],[Rating]],Guidance!$A$11:$C$15,3,0),"")</f>
        <v/>
      </c>
      <c r="R52"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52"/>
      <c r="W52"/>
      <c r="X52"/>
    </row>
    <row r="53" spans="1:24" ht="83.5" customHeight="1" x14ac:dyDescent="0.2">
      <c r="A53" s="12" t="str">
        <f>IF(Guidance!E49="","fill in name of country/state in guidance sheet",Guidance!E49)</f>
        <v>fill in name of country/state in guidance sheet</v>
      </c>
      <c r="B53" s="11" t="str">
        <f t="shared" si="6"/>
        <v/>
      </c>
      <c r="C53" s="12">
        <f t="shared" si="5"/>
        <v>2026</v>
      </c>
      <c r="D53" s="12" t="s">
        <v>92</v>
      </c>
      <c r="E53" s="1" t="str">
        <f t="shared" si="7"/>
        <v>Water; Sanitation; Hygiene; Schools</v>
      </c>
      <c r="F53" s="164"/>
      <c r="G53" s="164"/>
      <c r="H53" s="164" t="s">
        <v>100</v>
      </c>
      <c r="I53" s="12">
        <v>48</v>
      </c>
      <c r="J53" s="11" t="str">
        <f>IF(tblDistrict_1[[#This Row],[Code]]&gt;9.99,LEFT(tblDistrict_1[[#This Row],[Code]],2),LEFT(tblDistrict_1[[#This Row],[Code]],1))</f>
        <v>7</v>
      </c>
      <c r="K53" s="74" t="s">
        <v>112</v>
      </c>
      <c r="L53" s="76">
        <v>7.5</v>
      </c>
      <c r="M53" s="110" t="s">
        <v>300</v>
      </c>
      <c r="N53" s="95"/>
      <c r="O53" s="73"/>
      <c r="P53" s="73"/>
      <c r="Q53" s="121" t="str">
        <f>IFERROR(VLOOKUP(tblDistrict_1[[#This Row],[Rating]],Guidance!$A$11:$C$15,3,0),"")</f>
        <v/>
      </c>
      <c r="R53"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53"/>
      <c r="W53"/>
      <c r="X53"/>
    </row>
    <row r="54" spans="1:24" ht="83.5" customHeight="1" x14ac:dyDescent="0.2">
      <c r="A54" s="12" t="str">
        <f>IF(Guidance!E50="","fill in name of country/state in guidance sheet",Guidance!E50)</f>
        <v>fill in name of country/state in guidance sheet</v>
      </c>
      <c r="B54" s="11" t="str">
        <f t="shared" si="6"/>
        <v/>
      </c>
      <c r="C54" s="12">
        <f t="shared" si="5"/>
        <v>2026</v>
      </c>
      <c r="D54" s="12" t="s">
        <v>92</v>
      </c>
      <c r="E54" s="1" t="str">
        <f t="shared" si="7"/>
        <v>Water; Sanitation; Hygiene; Schools</v>
      </c>
      <c r="F54" s="12" t="s">
        <v>100</v>
      </c>
      <c r="G54" s="164"/>
      <c r="H54" s="12"/>
      <c r="I54" s="12">
        <v>49</v>
      </c>
      <c r="J54" s="11" t="str">
        <f>IF(tblDistrict_1[[#This Row],[Code]]&gt;9.99,LEFT(tblDistrict_1[[#This Row],[Code]],2),LEFT(tblDistrict_1[[#This Row],[Code]],1))</f>
        <v>7</v>
      </c>
      <c r="K54" s="74" t="s">
        <v>112</v>
      </c>
      <c r="L54" s="76">
        <v>7.6</v>
      </c>
      <c r="M54" s="110" t="s">
        <v>156</v>
      </c>
      <c r="N54" s="95"/>
      <c r="O54" s="73"/>
      <c r="P54" s="73"/>
      <c r="Q54" s="121" t="str">
        <f>IFERROR(VLOOKUP(tblDistrict_1[[#This Row],[Rating]],Guidance!$A$11:$C$15,3,0),"")</f>
        <v/>
      </c>
      <c r="R54"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54"/>
      <c r="W54"/>
      <c r="X54"/>
    </row>
    <row r="55" spans="1:24" ht="83.5" customHeight="1" x14ac:dyDescent="0.2">
      <c r="A55" s="12" t="str">
        <f>IF(Guidance!E50="","fill in name of country/state in guidance sheet",Guidance!E50)</f>
        <v>fill in name of country/state in guidance sheet</v>
      </c>
      <c r="B55" s="11" t="str">
        <f t="shared" si="6"/>
        <v/>
      </c>
      <c r="C55" s="12">
        <f t="shared" si="5"/>
        <v>2026</v>
      </c>
      <c r="D55" s="12" t="s">
        <v>86</v>
      </c>
      <c r="E55" s="1" t="str">
        <f t="shared" si="7"/>
        <v>Water; Sanitation; Hygiene; Schools</v>
      </c>
      <c r="F55" s="164"/>
      <c r="G55" s="164"/>
      <c r="H55" s="12"/>
      <c r="I55" s="12">
        <v>50</v>
      </c>
      <c r="J55" s="11" t="str">
        <f>IF(tblDistrict_1[[#This Row],[Code]]&gt;9.99,LEFT(tblDistrict_1[[#This Row],[Code]],2),LEFT(tblDistrict_1[[#This Row],[Code]],1))</f>
        <v>8</v>
      </c>
      <c r="K55" s="133" t="s">
        <v>114</v>
      </c>
      <c r="L55" s="139">
        <v>8</v>
      </c>
      <c r="M55" s="134" t="s">
        <v>301</v>
      </c>
      <c r="N55" s="123"/>
      <c r="O55" s="126"/>
      <c r="P55" s="126"/>
      <c r="Q55" s="124" t="str">
        <f>IFERROR(VLOOKUP(tblDistrict_1[[#This Row],[Rating]],Guidance!$A$11:$C$15,3,0),"")</f>
        <v/>
      </c>
      <c r="R55"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55"/>
      <c r="W55"/>
      <c r="X55"/>
    </row>
    <row r="56" spans="1:24" ht="83.5" customHeight="1" x14ac:dyDescent="0.2">
      <c r="A56" s="12" t="str">
        <f>IF(Guidance!E51="","fill in name of country/state in guidance sheet",Guidance!E51)</f>
        <v>fill in name of country/state in guidance sheet</v>
      </c>
      <c r="B56" s="11" t="str">
        <f t="shared" si="6"/>
        <v/>
      </c>
      <c r="C56" s="12">
        <f t="shared" si="5"/>
        <v>2026</v>
      </c>
      <c r="D56" s="12" t="s">
        <v>92</v>
      </c>
      <c r="E56" s="1" t="str">
        <f t="shared" si="7"/>
        <v>Water; Sanitation; Hygiene; Schools</v>
      </c>
      <c r="F56" s="164"/>
      <c r="G56" s="164"/>
      <c r="H56" s="12" t="s">
        <v>126</v>
      </c>
      <c r="I56" s="12">
        <v>51</v>
      </c>
      <c r="J56" s="11" t="str">
        <f>IF(tblDistrict_1[[#This Row],[Code]]&gt;9.99,LEFT(tblDistrict_1[[#This Row],[Code]],2),LEFT(tblDistrict_1[[#This Row],[Code]],1))</f>
        <v>8</v>
      </c>
      <c r="K56" s="74" t="s">
        <v>114</v>
      </c>
      <c r="L56" s="76">
        <v>8.1</v>
      </c>
      <c r="M56" s="80" t="s">
        <v>302</v>
      </c>
      <c r="N56" s="95"/>
      <c r="O56" s="73"/>
      <c r="P56" s="73"/>
      <c r="Q56" s="129" t="str">
        <f>IFERROR(VLOOKUP(tblDistrict_1[[#This Row],[Rating]],Guidance!$A$11:$C$15,3,0),"")</f>
        <v/>
      </c>
      <c r="R56" s="117"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56"/>
      <c r="W56"/>
      <c r="X56"/>
    </row>
    <row r="57" spans="1:24" ht="83.5" customHeight="1" x14ac:dyDescent="0.2">
      <c r="A57" s="12" t="str">
        <f>IF(Guidance!E52="","fill in name of country/state in guidance sheet",Guidance!E52)</f>
        <v>fill in name of country/state in guidance sheet</v>
      </c>
      <c r="B57" s="11" t="str">
        <f t="shared" si="6"/>
        <v/>
      </c>
      <c r="C57" s="12">
        <f t="shared" si="5"/>
        <v>2026</v>
      </c>
      <c r="D57" s="12" t="s">
        <v>92</v>
      </c>
      <c r="E57" s="1" t="str">
        <f t="shared" si="7"/>
        <v>Water; Sanitation; Hygiene; Schools</v>
      </c>
      <c r="F57" s="164"/>
      <c r="G57" s="164" t="s">
        <v>100</v>
      </c>
      <c r="H57" s="12" t="s">
        <v>126</v>
      </c>
      <c r="I57" s="12">
        <v>52</v>
      </c>
      <c r="J57" s="11" t="str">
        <f>IF(tblDistrict_1[[#This Row],[Code]]&gt;9.99,LEFT(tblDistrict_1[[#This Row],[Code]],2),LEFT(tblDistrict_1[[#This Row],[Code]],1))</f>
        <v>8</v>
      </c>
      <c r="K57" s="74" t="s">
        <v>114</v>
      </c>
      <c r="L57" s="76">
        <v>8.1999999999999993</v>
      </c>
      <c r="M57" s="80" t="s">
        <v>303</v>
      </c>
      <c r="N57" s="95"/>
      <c r="O57" s="73"/>
      <c r="P57" s="73"/>
      <c r="Q57" s="119" t="str">
        <f>IFERROR(VLOOKUP(tblDistrict_1[[#This Row],[Rating]],Guidance!$A$11:$C$15,3,0),"")</f>
        <v/>
      </c>
      <c r="R57"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57"/>
      <c r="W57"/>
      <c r="X57"/>
    </row>
    <row r="58" spans="1:24" ht="83.5" customHeight="1" x14ac:dyDescent="0.2">
      <c r="A58" s="12" t="str">
        <f>IF(Guidance!E53="","fill in name of country/state in guidance sheet",Guidance!E53)</f>
        <v>fill in name of country/state in guidance sheet</v>
      </c>
      <c r="B58" s="11" t="str">
        <f t="shared" si="6"/>
        <v/>
      </c>
      <c r="C58" s="12">
        <f t="shared" si="5"/>
        <v>2026</v>
      </c>
      <c r="D58" s="12" t="s">
        <v>92</v>
      </c>
      <c r="E58" s="1" t="str">
        <f t="shared" si="7"/>
        <v>Water; Sanitation; Hygiene; Schools</v>
      </c>
      <c r="F58" s="164"/>
      <c r="G58" s="164"/>
      <c r="H58" s="12" t="s">
        <v>100</v>
      </c>
      <c r="I58" s="12">
        <v>53</v>
      </c>
      <c r="J58" s="11" t="str">
        <f>IF(tblDistrict_1[[#This Row],[Code]]&gt;9.99,LEFT(tblDistrict_1[[#This Row],[Code]],2),LEFT(tblDistrict_1[[#This Row],[Code]],1))</f>
        <v>8</v>
      </c>
      <c r="K58" s="74" t="s">
        <v>114</v>
      </c>
      <c r="L58" s="76">
        <v>8.3000000000000007</v>
      </c>
      <c r="M58" s="77" t="s">
        <v>304</v>
      </c>
      <c r="N58" s="95"/>
      <c r="O58" s="111"/>
      <c r="P58" s="112"/>
      <c r="Q58" s="119" t="str">
        <f>IFERROR(VLOOKUP(tblDistrict_1[[#This Row],[Rating]],Guidance!$A$11:$C$15,3,0),"")</f>
        <v/>
      </c>
      <c r="R58"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58"/>
      <c r="W58"/>
      <c r="X58"/>
    </row>
    <row r="59" spans="1:24" ht="83.5" customHeight="1" x14ac:dyDescent="0.2">
      <c r="A59" s="12" t="str">
        <f>IF(Guidance!E57="","fill in name of country/state in guidance sheet",Guidance!E57)</f>
        <v>fill in name of country/state in guidance sheet</v>
      </c>
      <c r="B59" s="11" t="str">
        <f t="shared" si="6"/>
        <v/>
      </c>
      <c r="C59" s="12">
        <f t="shared" si="5"/>
        <v>2026</v>
      </c>
      <c r="D59" s="12" t="s">
        <v>86</v>
      </c>
      <c r="E59" s="1" t="str">
        <f t="shared" si="7"/>
        <v>Water; Sanitation; Hygiene; Schools</v>
      </c>
      <c r="F59" s="164"/>
      <c r="G59" s="164"/>
      <c r="H59" s="12"/>
      <c r="I59" s="12">
        <v>54</v>
      </c>
      <c r="J59" s="11" t="str">
        <f>IF(tblDistrict_1[[#This Row],[Code]]&gt;9.99,LEFT(tblDistrict_1[[#This Row],[Code]],2),LEFT(tblDistrict_1[[#This Row],[Code]],1))</f>
        <v>9</v>
      </c>
      <c r="K59" s="133" t="s">
        <v>117</v>
      </c>
      <c r="L59" s="139">
        <v>9</v>
      </c>
      <c r="M59" s="134" t="s">
        <v>166</v>
      </c>
      <c r="N59" s="123"/>
      <c r="O59" s="126"/>
      <c r="P59" s="126"/>
      <c r="Q59" s="124" t="str">
        <f>IFERROR(VLOOKUP(tblDistrict_1[[#This Row],[Rating]],Guidance!$A$11:$C$15,3,0),"")</f>
        <v/>
      </c>
      <c r="R59"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59"/>
      <c r="W59"/>
      <c r="X59"/>
    </row>
    <row r="60" spans="1:24" ht="83.5" customHeight="1" x14ac:dyDescent="0.2">
      <c r="A60" s="12" t="str">
        <f>IF(Guidance!E58="","fill in name of country/state in guidance sheet",Guidance!E58)</f>
        <v>fill in name of country/state in guidance sheet</v>
      </c>
      <c r="B60" s="11" t="str">
        <f t="shared" si="6"/>
        <v/>
      </c>
      <c r="C60" s="12">
        <f t="shared" si="5"/>
        <v>2026</v>
      </c>
      <c r="D60" s="12" t="s">
        <v>92</v>
      </c>
      <c r="E60" s="1" t="str">
        <f t="shared" si="7"/>
        <v>Water; Sanitation; Hygiene; Schools</v>
      </c>
      <c r="F60" s="164"/>
      <c r="G60" s="164" t="s">
        <v>100</v>
      </c>
      <c r="H60" s="12"/>
      <c r="I60" s="12">
        <v>55</v>
      </c>
      <c r="J60" s="11" t="str">
        <f>IF(tblDistrict_1[[#This Row],[Code]]&gt;9.99,LEFT(tblDistrict_1[[#This Row],[Code]],2),LEFT(tblDistrict_1[[#This Row],[Code]],1))</f>
        <v>9</v>
      </c>
      <c r="K60" s="74" t="s">
        <v>117</v>
      </c>
      <c r="L60" s="76">
        <v>9.1</v>
      </c>
      <c r="M60" s="80" t="s">
        <v>305</v>
      </c>
      <c r="N60" s="95"/>
      <c r="O60" s="73"/>
      <c r="P60" s="73"/>
      <c r="Q60" s="129" t="str">
        <f>IFERROR(VLOOKUP(tblDistrict_1[[#This Row],[Rating]],Guidance!$A$11:$C$15,3,0),"")</f>
        <v/>
      </c>
      <c r="R60" s="117"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60"/>
      <c r="W60"/>
      <c r="X60"/>
    </row>
    <row r="61" spans="1:24" ht="83.5" customHeight="1" x14ac:dyDescent="0.2">
      <c r="A61" s="12" t="str">
        <f>IF(Guidance!E59="","fill in name of country/state in guidance sheet",Guidance!E59)</f>
        <v>fill in name of country/state in guidance sheet</v>
      </c>
      <c r="B61" s="11" t="str">
        <f t="shared" si="6"/>
        <v/>
      </c>
      <c r="C61" s="12">
        <f t="shared" si="5"/>
        <v>2026</v>
      </c>
      <c r="D61" s="12" t="s">
        <v>92</v>
      </c>
      <c r="E61" s="1" t="str">
        <f t="shared" si="7"/>
        <v>Water; Sanitation; Hygiene; Schools</v>
      </c>
      <c r="F61" s="164"/>
      <c r="G61" s="164" t="s">
        <v>100</v>
      </c>
      <c r="H61" s="12"/>
      <c r="I61" s="12">
        <v>56</v>
      </c>
      <c r="J61" s="11" t="str">
        <f>IF(tblDistrict_1[[#This Row],[Code]]&gt;9.99,LEFT(tblDistrict_1[[#This Row],[Code]],2),LEFT(tblDistrict_1[[#This Row],[Code]],1))</f>
        <v>9</v>
      </c>
      <c r="K61" s="74" t="s">
        <v>117</v>
      </c>
      <c r="L61" s="76">
        <v>9.1999999999999993</v>
      </c>
      <c r="M61" s="81" t="s">
        <v>306</v>
      </c>
      <c r="N61" s="95"/>
      <c r="O61" s="73"/>
      <c r="P61" s="73"/>
      <c r="Q61" s="119" t="str">
        <f>IFERROR(VLOOKUP(tblDistrict_1[[#This Row],[Rating]],Guidance!$A$11:$C$15,3,0),"")</f>
        <v/>
      </c>
      <c r="R61"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61"/>
      <c r="W61"/>
      <c r="X61"/>
    </row>
    <row r="62" spans="1:24" ht="83.5" customHeight="1" x14ac:dyDescent="0.2">
      <c r="A62" s="12" t="str">
        <f>IF(Guidance!E60="","fill in name of country/state in guidance sheet",Guidance!E60)</f>
        <v>fill in name of country/state in guidance sheet</v>
      </c>
      <c r="B62" s="11" t="str">
        <f t="shared" si="6"/>
        <v/>
      </c>
      <c r="C62" s="12">
        <f t="shared" si="5"/>
        <v>2026</v>
      </c>
      <c r="D62" s="12" t="s">
        <v>92</v>
      </c>
      <c r="E62" s="1" t="str">
        <f t="shared" si="7"/>
        <v>Water; Sanitation; Hygiene; Schools</v>
      </c>
      <c r="F62" s="164"/>
      <c r="G62" s="164"/>
      <c r="H62" s="12" t="s">
        <v>100</v>
      </c>
      <c r="I62" s="12">
        <v>57</v>
      </c>
      <c r="J62" s="11" t="str">
        <f>IF(tblDistrict_1[[#This Row],[Code]]&gt;9.99,LEFT(tblDistrict_1[[#This Row],[Code]],2),LEFT(tblDistrict_1[[#This Row],[Code]],1))</f>
        <v>9</v>
      </c>
      <c r="K62" s="74" t="s">
        <v>117</v>
      </c>
      <c r="L62" s="109">
        <v>9.3000000000000007</v>
      </c>
      <c r="M62" s="77" t="s">
        <v>307</v>
      </c>
      <c r="N62" s="95"/>
      <c r="O62" s="111"/>
      <c r="P62" s="112"/>
      <c r="Q62" s="119" t="str">
        <f>IFERROR(VLOOKUP(tblDistrict_1[[#This Row],[Rating]],Guidance!$A$11:$C$15,3,0),"")</f>
        <v/>
      </c>
      <c r="R62"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62"/>
      <c r="W62"/>
      <c r="X62"/>
    </row>
    <row r="63" spans="1:24" ht="83.5" customHeight="1" x14ac:dyDescent="0.2">
      <c r="A63" s="12" t="str">
        <f>IF(Guidance!E61="","fill in name of country/state in guidance sheet",Guidance!E61)</f>
        <v>fill in name of country/state in guidance sheet</v>
      </c>
      <c r="B63" s="11" t="str">
        <f t="shared" si="6"/>
        <v/>
      </c>
      <c r="C63" s="12">
        <f t="shared" si="5"/>
        <v>2026</v>
      </c>
      <c r="D63" s="12" t="s">
        <v>92</v>
      </c>
      <c r="E63" s="1" t="str">
        <f t="shared" si="7"/>
        <v>Water; Sanitation; Hygiene; Schools</v>
      </c>
      <c r="F63" s="164" t="s">
        <v>100</v>
      </c>
      <c r="G63" s="164"/>
      <c r="H63" s="12"/>
      <c r="I63" s="12">
        <v>58</v>
      </c>
      <c r="J63" s="11" t="str">
        <f>IF(tblDistrict_1[[#This Row],[Code]]&gt;9.99,LEFT(tblDistrict_1[[#This Row],[Code]],2),LEFT(tblDistrict_1[[#This Row],[Code]],1))</f>
        <v>9</v>
      </c>
      <c r="K63" s="74" t="s">
        <v>117</v>
      </c>
      <c r="L63" s="76">
        <v>9.4</v>
      </c>
      <c r="M63" s="81" t="s">
        <v>308</v>
      </c>
      <c r="N63" s="95"/>
      <c r="O63" s="73"/>
      <c r="P63" s="73"/>
      <c r="Q63" s="119" t="str">
        <f>IFERROR(VLOOKUP(tblDistrict_1[[#This Row],[Rating]],Guidance!$A$11:$C$15,3,0),"")</f>
        <v/>
      </c>
      <c r="R63"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63"/>
      <c r="W63"/>
      <c r="X63"/>
    </row>
    <row r="64" spans="1:24" ht="83.5" customHeight="1" x14ac:dyDescent="0.2">
      <c r="A64" s="12" t="str">
        <f>IF(Guidance!E63="","fill in name of country/state in guidance sheet",Guidance!E63)</f>
        <v>fill in name of country/state in guidance sheet</v>
      </c>
      <c r="B64" s="11" t="str">
        <f t="shared" si="6"/>
        <v/>
      </c>
      <c r="C64" s="12">
        <f t="shared" si="5"/>
        <v>2026</v>
      </c>
      <c r="D64" s="12" t="s">
        <v>86</v>
      </c>
      <c r="E64" s="1" t="str">
        <f t="shared" si="7"/>
        <v>Water; Sanitation; Hygiene; Schools</v>
      </c>
      <c r="F64" s="164"/>
      <c r="G64" s="164"/>
      <c r="H64" s="12"/>
      <c r="I64" s="12">
        <v>59</v>
      </c>
      <c r="J64" s="11" t="str">
        <f>IF(tblDistrict_1[[#This Row],[Code]]&gt;9.99,LEFT(tblDistrict_1[[#This Row],[Code]],2),LEFT(tblDistrict_1[[#This Row],[Code]],1))</f>
        <v>10</v>
      </c>
      <c r="K64" s="133" t="s">
        <v>119</v>
      </c>
      <c r="L64" s="139">
        <v>10</v>
      </c>
      <c r="M64" s="136" t="s">
        <v>309</v>
      </c>
      <c r="N64" s="123"/>
      <c r="O64" s="126"/>
      <c r="P64" s="126"/>
      <c r="Q64" s="124" t="str">
        <f>IFERROR(VLOOKUP(tblDistrict_1[[#This Row],[Rating]],Guidance!$A$11:$C$15,3,0),"")</f>
        <v/>
      </c>
      <c r="R64"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64"/>
      <c r="W64"/>
      <c r="X64"/>
    </row>
    <row r="65" spans="1:24" ht="83.5" customHeight="1" x14ac:dyDescent="0.2">
      <c r="A65" s="12" t="str">
        <f>IF(Guidance!E64="","fill in name of country/state in guidance sheet",Guidance!E64)</f>
        <v>fill in name of country/state in guidance sheet</v>
      </c>
      <c r="B65" s="11" t="str">
        <f t="shared" si="6"/>
        <v/>
      </c>
      <c r="C65" s="12">
        <f t="shared" si="5"/>
        <v>2026</v>
      </c>
      <c r="D65" s="12" t="s">
        <v>92</v>
      </c>
      <c r="E65" s="1" t="str">
        <f t="shared" si="7"/>
        <v>Water; Sanitation; Hygiene; Schools</v>
      </c>
      <c r="F65" s="164"/>
      <c r="G65" s="164"/>
      <c r="H65" s="12"/>
      <c r="I65" s="12">
        <v>60</v>
      </c>
      <c r="J65" s="11" t="str">
        <f>IF(tblDistrict_1[[#This Row],[Code]]&gt;9.99,LEFT(tblDistrict_1[[#This Row],[Code]],2),LEFT(tblDistrict_1[[#This Row],[Code]],1))</f>
        <v>10</v>
      </c>
      <c r="K65" s="74" t="s">
        <v>119</v>
      </c>
      <c r="L65" s="76">
        <v>10.1</v>
      </c>
      <c r="M65" s="79" t="s">
        <v>310</v>
      </c>
      <c r="N65" s="95"/>
      <c r="O65" s="73"/>
      <c r="P65" s="73"/>
      <c r="Q65" s="129" t="str">
        <f>IFERROR(VLOOKUP(tblDistrict_1[[#This Row],[Rating]],Guidance!$A$11:$C$15,3,0),"")</f>
        <v/>
      </c>
      <c r="R65" s="117"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65"/>
      <c r="W65"/>
      <c r="X65"/>
    </row>
    <row r="66" spans="1:24" ht="83.5" customHeight="1" x14ac:dyDescent="0.2">
      <c r="A66" s="12" t="str">
        <f>IF(Guidance!E65="","fill in name of country/state in guidance sheet",Guidance!E65)</f>
        <v>fill in name of country/state in guidance sheet</v>
      </c>
      <c r="B66" s="11" t="str">
        <f t="shared" si="6"/>
        <v/>
      </c>
      <c r="C66" s="12">
        <f t="shared" si="5"/>
        <v>2026</v>
      </c>
      <c r="D66" s="12" t="s">
        <v>92</v>
      </c>
      <c r="E66" s="1" t="str">
        <f t="shared" si="7"/>
        <v>Water; Sanitation; Hygiene; Schools</v>
      </c>
      <c r="F66" s="164"/>
      <c r="G66" s="164" t="s">
        <v>100</v>
      </c>
      <c r="H66" s="12"/>
      <c r="I66" s="12">
        <v>61</v>
      </c>
      <c r="J66" s="11" t="str">
        <f>IF(tblDistrict_1[[#This Row],[Code]]&gt;9.99,LEFT(tblDistrict_1[[#This Row],[Code]],2),LEFT(tblDistrict_1[[#This Row],[Code]],1))</f>
        <v>10</v>
      </c>
      <c r="K66" s="82" t="s">
        <v>119</v>
      </c>
      <c r="L66" s="76">
        <v>10.199999999999999</v>
      </c>
      <c r="M66" s="94" t="s">
        <v>311</v>
      </c>
      <c r="N66" s="95"/>
      <c r="O66" s="73"/>
      <c r="P66" s="73"/>
      <c r="Q66" s="119" t="str">
        <f>IFERROR(VLOOKUP(tblDistrict_1[[#This Row],[Rating]],Guidance!$A$11:$C$15,3,0),"")</f>
        <v/>
      </c>
      <c r="R66"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66"/>
      <c r="W66"/>
      <c r="X66"/>
    </row>
    <row r="67" spans="1:24" ht="83.5" customHeight="1" x14ac:dyDescent="0.2">
      <c r="A67" s="12" t="str">
        <f>IF(Guidance!E66="","fill in name of country/state in guidance sheet",Guidance!E66)</f>
        <v>fill in name of country/state in guidance sheet</v>
      </c>
      <c r="B67" s="11" t="str">
        <f t="shared" si="6"/>
        <v/>
      </c>
      <c r="C67" s="12">
        <f t="shared" si="5"/>
        <v>2026</v>
      </c>
      <c r="D67" s="12" t="s">
        <v>92</v>
      </c>
      <c r="E67" s="1" t="str">
        <f t="shared" si="7"/>
        <v>Water; Sanitation; Hygiene; Schools</v>
      </c>
      <c r="F67" s="164"/>
      <c r="G67" s="164"/>
      <c r="H67" s="12"/>
      <c r="I67" s="12">
        <v>62</v>
      </c>
      <c r="J67" s="11" t="str">
        <f>IF(tblDistrict_1[[#This Row],[Code]]&gt;9.99,LEFT(tblDistrict_1[[#This Row],[Code]],2),LEFT(tblDistrict_1[[#This Row],[Code]],1))</f>
        <v>10</v>
      </c>
      <c r="K67" s="82" t="s">
        <v>119</v>
      </c>
      <c r="L67" s="76">
        <v>10.3</v>
      </c>
      <c r="M67" s="77" t="s">
        <v>312</v>
      </c>
      <c r="N67" s="95"/>
      <c r="O67" s="111"/>
      <c r="P67" s="112"/>
      <c r="Q67" s="119" t="str">
        <f>IFERROR(VLOOKUP(tblDistrict_1[[#This Row],[Rating]],Guidance!$A$11:$C$15,3,0),"")</f>
        <v/>
      </c>
      <c r="R67"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67"/>
      <c r="W67"/>
      <c r="X67"/>
    </row>
    <row r="68" spans="1:24" ht="83.5" customHeight="1" x14ac:dyDescent="0.2">
      <c r="A68" s="12" t="str">
        <f>IF(Guidance!E67="","fill in name of country/state in guidance sheet",Guidance!E67)</f>
        <v>fill in name of country/state in guidance sheet</v>
      </c>
      <c r="B68" s="11" t="str">
        <f t="shared" si="6"/>
        <v/>
      </c>
      <c r="C68" s="12">
        <f t="shared" si="5"/>
        <v>2026</v>
      </c>
      <c r="D68" s="12" t="s">
        <v>92</v>
      </c>
      <c r="E68" s="1" t="str">
        <f t="shared" si="7"/>
        <v>Water; Sanitation; Hygiene; Schools</v>
      </c>
      <c r="F68" s="164" t="s">
        <v>100</v>
      </c>
      <c r="G68" s="164"/>
      <c r="H68" s="12"/>
      <c r="I68" s="12">
        <v>63</v>
      </c>
      <c r="J68" s="11" t="str">
        <f>IF(tblDistrict_1[[#This Row],[Code]]&gt;9.99,LEFT(tblDistrict_1[[#This Row],[Code]],2),LEFT(tblDistrict_1[[#This Row],[Code]],1))</f>
        <v>10</v>
      </c>
      <c r="K68" s="82" t="s">
        <v>119</v>
      </c>
      <c r="L68" s="76">
        <v>10.4</v>
      </c>
      <c r="M68" s="80" t="s">
        <v>313</v>
      </c>
      <c r="N68" s="95"/>
      <c r="O68" s="73"/>
      <c r="P68" s="73"/>
      <c r="Q68" s="119" t="str">
        <f>IFERROR(VLOOKUP(tblDistrict_1[[#This Row],[Rating]],Guidance!$A$11:$C$15,3,0),"")</f>
        <v/>
      </c>
      <c r="R68"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68"/>
      <c r="W68"/>
      <c r="X68"/>
    </row>
    <row r="69" spans="1:24" ht="83.5" customHeight="1" x14ac:dyDescent="0.2">
      <c r="A69" s="12" t="str">
        <f>IF(Guidance!E68="","fill in name of country/state in guidance sheet",Guidance!E68)</f>
        <v>fill in name of country/state in guidance sheet</v>
      </c>
      <c r="B69" s="11" t="str">
        <f t="shared" si="6"/>
        <v/>
      </c>
      <c r="C69" s="12">
        <f t="shared" ref="C69:C74" si="8">Year</f>
        <v>2026</v>
      </c>
      <c r="D69" s="12" t="s">
        <v>92</v>
      </c>
      <c r="E69" s="1" t="str">
        <f t="shared" si="7"/>
        <v>Water; Sanitation; Hygiene; Schools</v>
      </c>
      <c r="F69" s="164" t="s">
        <v>100</v>
      </c>
      <c r="G69" s="164"/>
      <c r="H69" s="12" t="s">
        <v>100</v>
      </c>
      <c r="I69" s="12">
        <v>64</v>
      </c>
      <c r="J69" s="11" t="str">
        <f>IF(tblDistrict_1[[#This Row],[Code]]&gt;9.99,LEFT(tblDistrict_1[[#This Row],[Code]],2),LEFT(tblDistrict_1[[#This Row],[Code]],1))</f>
        <v>10</v>
      </c>
      <c r="K69" s="82" t="s">
        <v>119</v>
      </c>
      <c r="L69" s="76">
        <v>10.5</v>
      </c>
      <c r="M69" s="92" t="s">
        <v>314</v>
      </c>
      <c r="N69" s="95"/>
      <c r="O69" s="73"/>
      <c r="P69" s="73"/>
      <c r="Q69" s="119" t="str">
        <f>IFERROR(VLOOKUP(tblDistrict_1[[#This Row],[Rating]],Guidance!$A$11:$C$15,3,0),"")</f>
        <v/>
      </c>
      <c r="R69"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69"/>
      <c r="W69"/>
      <c r="X69"/>
    </row>
    <row r="70" spans="1:24" ht="83.5" customHeight="1" x14ac:dyDescent="0.2">
      <c r="A70" s="12" t="str">
        <f>IF(Guidance!E69="","fill in name of country/state in guidance sheet",Guidance!E69)</f>
        <v>fill in name of country/state in guidance sheet</v>
      </c>
      <c r="B70" s="11" t="str">
        <f t="shared" si="6"/>
        <v/>
      </c>
      <c r="C70" s="12">
        <f t="shared" si="8"/>
        <v>2026</v>
      </c>
      <c r="D70" s="12" t="s">
        <v>92</v>
      </c>
      <c r="E70" s="1" t="str">
        <f t="shared" si="7"/>
        <v>Water; Sanitation; Hygiene; Schools</v>
      </c>
      <c r="F70" s="164" t="s">
        <v>100</v>
      </c>
      <c r="G70" s="164"/>
      <c r="H70" s="12"/>
      <c r="I70" s="12">
        <v>65</v>
      </c>
      <c r="J70" s="11" t="str">
        <f>IF(tblDistrict_1[[#This Row],[Code]]&gt;9.99,LEFT(tblDistrict_1[[#This Row],[Code]],2),LEFT(tblDistrict_1[[#This Row],[Code]],1))</f>
        <v>10</v>
      </c>
      <c r="K70" s="82" t="s">
        <v>119</v>
      </c>
      <c r="L70" s="76">
        <v>10.6</v>
      </c>
      <c r="M70" s="92" t="s">
        <v>315</v>
      </c>
      <c r="N70" s="95"/>
      <c r="O70" s="73"/>
      <c r="P70" s="73"/>
      <c r="Q70" s="119" t="str">
        <f>IFERROR(VLOOKUP(tblDistrict_1[[#This Row],[Rating]],Guidance!$A$11:$C$15,3,0),"")</f>
        <v/>
      </c>
      <c r="R70"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70"/>
      <c r="W70"/>
      <c r="X70"/>
    </row>
    <row r="71" spans="1:24" ht="83.5" customHeight="1" x14ac:dyDescent="0.2">
      <c r="A71" s="12" t="str">
        <f>IF(Guidance!E70="","fill in name of country/state in guidance sheet",Guidance!E70)</f>
        <v>fill in name of country/state in guidance sheet</v>
      </c>
      <c r="B71" s="11" t="str">
        <f t="shared" si="6"/>
        <v/>
      </c>
      <c r="C71" s="12">
        <f t="shared" si="8"/>
        <v>2026</v>
      </c>
      <c r="D71" s="12" t="s">
        <v>92</v>
      </c>
      <c r="E71" s="1" t="str">
        <f t="shared" si="7"/>
        <v>Water; Sanitation; Hygiene; Schools</v>
      </c>
      <c r="F71" s="164" t="s">
        <v>100</v>
      </c>
      <c r="G71" s="164"/>
      <c r="H71" s="12"/>
      <c r="I71" s="12">
        <v>66</v>
      </c>
      <c r="J71" s="11" t="str">
        <f>IF(tblDistrict_1[[#This Row],[Code]]&gt;9.99,LEFT(tblDistrict_1[[#This Row],[Code]],2),LEFT(tblDistrict_1[[#This Row],[Code]],1))</f>
        <v>10</v>
      </c>
      <c r="K71" s="82" t="s">
        <v>119</v>
      </c>
      <c r="L71" s="76">
        <v>10.7</v>
      </c>
      <c r="M71" s="92" t="s">
        <v>316</v>
      </c>
      <c r="N71" s="95"/>
      <c r="O71" s="73"/>
      <c r="P71" s="73"/>
      <c r="Q71" s="119" t="str">
        <f>IFERROR(VLOOKUP(tblDistrict_1[[#This Row],[Rating]],Guidance!$A$11:$C$15,3,0),"")</f>
        <v/>
      </c>
      <c r="R71" s="11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71"/>
      <c r="W71"/>
      <c r="X71"/>
    </row>
    <row r="72" spans="1:24" ht="83.5" customHeight="1" x14ac:dyDescent="0.2">
      <c r="A72" s="12" t="str">
        <f>IF(Guidance!E69="","fill in name of country/state in guidance sheet",Guidance!E69)</f>
        <v>fill in name of country/state in guidance sheet</v>
      </c>
      <c r="B72" s="11" t="str">
        <f t="shared" si="6"/>
        <v/>
      </c>
      <c r="C72" s="12">
        <f t="shared" si="8"/>
        <v>2026</v>
      </c>
      <c r="D72" s="12" t="s">
        <v>86</v>
      </c>
      <c r="E72" s="1" t="str">
        <f t="shared" si="7"/>
        <v>Water; Sanitation; Hygiene; Schools</v>
      </c>
      <c r="F72" s="12"/>
      <c r="G72" s="12"/>
      <c r="H72" s="12"/>
      <c r="I72" s="12">
        <v>67</v>
      </c>
      <c r="J72" s="11" t="str">
        <f>IF(tblDistrict_1[[#This Row],[Code]]&gt;9.99,LEFT(tblDistrict_1[[#This Row],[Code]],2),LEFT(tblDistrict_1[[#This Row],[Code]],1))</f>
        <v>In</v>
      </c>
      <c r="K72" s="134" t="s">
        <v>179</v>
      </c>
      <c r="L72" s="139" t="s">
        <v>90</v>
      </c>
      <c r="M72" s="134" t="s">
        <v>180</v>
      </c>
      <c r="N72" s="123"/>
      <c r="O72" s="126"/>
      <c r="P72" s="126"/>
      <c r="Q72" s="124" t="str">
        <f>IFERROR(VLOOKUP(tblDistrict_1[[#This Row],[Rating]],Guidance!$A$11:$C$15,3,0),"")</f>
        <v/>
      </c>
      <c r="R72"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72"/>
      <c r="W72"/>
      <c r="X72"/>
    </row>
    <row r="73" spans="1:24" ht="83.5" customHeight="1" x14ac:dyDescent="0.2">
      <c r="A73" s="12" t="str">
        <f>IF(Guidance!E70="","fill in name of country/state in guidance sheet",Guidance!E70)</f>
        <v>fill in name of country/state in guidance sheet</v>
      </c>
      <c r="B73" s="11" t="str">
        <f t="shared" si="6"/>
        <v/>
      </c>
      <c r="C73" s="12">
        <f t="shared" si="8"/>
        <v>2026</v>
      </c>
      <c r="D73" s="12" t="s">
        <v>86</v>
      </c>
      <c r="E73" s="1" t="str">
        <f t="shared" si="7"/>
        <v>Water; Sanitation; Hygiene; Schools</v>
      </c>
      <c r="F73" s="12"/>
      <c r="G73" s="12"/>
      <c r="H73" s="12"/>
      <c r="I73" s="12">
        <v>68</v>
      </c>
      <c r="J73" s="11" t="str">
        <f>IF(tblDistrict_1[[#This Row],[Code]]&gt;9.99,LEFT(tblDistrict_1[[#This Row],[Code]],2),LEFT(tblDistrict_1[[#This Row],[Code]],1))</f>
        <v>In</v>
      </c>
      <c r="K73" s="134" t="s">
        <v>181</v>
      </c>
      <c r="L73" s="139" t="s">
        <v>94</v>
      </c>
      <c r="M73" s="137" t="s">
        <v>182</v>
      </c>
      <c r="N73" s="123"/>
      <c r="O73" s="126"/>
      <c r="P73" s="126"/>
      <c r="Q73" s="124" t="str">
        <f>IFERROR(VLOOKUP(tblDistrict_1[[#This Row],[Rating]],Guidance!$A$11:$C$15,3,0),"")</f>
        <v/>
      </c>
      <c r="R73"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c r="V73"/>
      <c r="W73"/>
      <c r="X73"/>
    </row>
    <row r="74" spans="1:24" ht="83.5" customHeight="1" x14ac:dyDescent="0.2">
      <c r="A74" s="12" t="str">
        <f>IF(Guidance!E71="","fill in name of country/state in guidance sheet",Guidance!E71)</f>
        <v>fill in name of country/state in guidance sheet</v>
      </c>
      <c r="B74" s="11" t="str">
        <f t="shared" si="6"/>
        <v/>
      </c>
      <c r="C74" s="12">
        <f t="shared" si="8"/>
        <v>2026</v>
      </c>
      <c r="D74" s="12" t="s">
        <v>86</v>
      </c>
      <c r="E74" s="1" t="str">
        <f t="shared" si="7"/>
        <v>Water; Sanitation; Hygiene; Schools</v>
      </c>
      <c r="F74" s="12"/>
      <c r="G74" s="12"/>
      <c r="H74" s="12"/>
      <c r="I74" s="12">
        <v>69</v>
      </c>
      <c r="J74" s="11" t="str">
        <f>IF(tblDistrict_1[[#This Row],[Code]]&gt;9.99,LEFT(tblDistrict_1[[#This Row],[Code]],2),LEFT(tblDistrict_1[[#This Row],[Code]],1))</f>
        <v>In</v>
      </c>
      <c r="K74" s="134" t="s">
        <v>183</v>
      </c>
      <c r="L74" s="139" t="s">
        <v>97</v>
      </c>
      <c r="M74" s="136" t="s">
        <v>184</v>
      </c>
      <c r="N74" s="123"/>
      <c r="O74" s="126"/>
      <c r="P74" s="126"/>
      <c r="Q74" s="124" t="str">
        <f>IFERROR(VLOOKUP(tblDistrict_1[[#This Row],[Rating]],Guidance!$A$11:$C$15,3,0),"")</f>
        <v/>
      </c>
      <c r="R74" s="125" t="str">
        <f>IFERROR(
    IF(
        tblDistrict_1[[#This Row],[Code]]="Index Indicator 1",
        AVERAGEIF(tblDistrict_1[Contributing to Index Indicator 1 Climate],"Yes",tblDistrict_1[Indicator Score]),
        IF(
            tblDistrict_1[[#This Row],[Code]]="Index Indicator 2",
            AVERAGEIF(tblDistrict_1[Contributing to Index Indicator 2 Capacity],"Yes",tblDistrict_1[Indicator Score]),
            IF(
                tblDistrict_1[[#This Row],[Code]]="Index Indicator 3",
                AVERAGEIF(tblDistrict_1[Contributes to Index Indicator 3],"Yes",tblDistrict_1[Indicator Score]),
                AVERAGEIF(tblDistrict_1[Outcome- number],tblDistrict_1[[#This Row],[Outcome- number]],tblDistrict_1[Indicator Score])
            )
        )
    ),
"")</f>
        <v/>
      </c>
    </row>
    <row r="75" spans="1:24" x14ac:dyDescent="0.2">
      <c r="M75" s="87"/>
      <c r="N75" s="87"/>
    </row>
    <row r="76" spans="1:24" x14ac:dyDescent="0.2">
      <c r="M76" s="87"/>
      <c r="N76" s="87"/>
    </row>
    <row r="77" spans="1:24" x14ac:dyDescent="0.2">
      <c r="M77" s="87"/>
      <c r="N77" s="87"/>
    </row>
    <row r="78" spans="1:24" x14ac:dyDescent="0.2">
      <c r="M78" s="87"/>
      <c r="N78" s="87"/>
    </row>
    <row r="79" spans="1:24" x14ac:dyDescent="0.2">
      <c r="M79" s="87"/>
      <c r="N79" s="87"/>
    </row>
    <row r="80" spans="1:24" x14ac:dyDescent="0.2">
      <c r="M80" s="87"/>
      <c r="N80" s="87"/>
    </row>
    <row r="81" spans="13:14" x14ac:dyDescent="0.2">
      <c r="M81" s="87"/>
      <c r="N81" s="87"/>
    </row>
    <row r="82" spans="13:14" x14ac:dyDescent="0.2">
      <c r="M82" s="87"/>
      <c r="N82" s="87"/>
    </row>
    <row r="83" spans="13:14" x14ac:dyDescent="0.2">
      <c r="M83" s="87"/>
      <c r="N83" s="87"/>
    </row>
    <row r="84" spans="13:14" x14ac:dyDescent="0.2">
      <c r="M84" s="87"/>
      <c r="N84" s="87"/>
    </row>
    <row r="85" spans="13:14" x14ac:dyDescent="0.2">
      <c r="M85" s="87"/>
      <c r="N85" s="87"/>
    </row>
    <row r="86" spans="13:14" x14ac:dyDescent="0.2">
      <c r="M86" s="87"/>
      <c r="N86" s="87"/>
    </row>
    <row r="87" spans="13:14" x14ac:dyDescent="0.2">
      <c r="M87" s="87"/>
      <c r="N87" s="87"/>
    </row>
    <row r="88" spans="13:14" x14ac:dyDescent="0.2">
      <c r="M88" s="87"/>
      <c r="N88" s="87"/>
    </row>
    <row r="89" spans="13:14" x14ac:dyDescent="0.2">
      <c r="M89" s="87"/>
      <c r="N89" s="87"/>
    </row>
    <row r="90" spans="13:14" x14ac:dyDescent="0.2">
      <c r="M90" s="87"/>
      <c r="N90" s="87"/>
    </row>
    <row r="91" spans="13:14" x14ac:dyDescent="0.2">
      <c r="M91" s="87"/>
      <c r="N91" s="87"/>
    </row>
    <row r="92" spans="13:14" x14ac:dyDescent="0.2">
      <c r="M92" s="87"/>
      <c r="N92" s="87"/>
    </row>
    <row r="93" spans="13:14" x14ac:dyDescent="0.2">
      <c r="M93" s="87"/>
      <c r="N93" s="87"/>
    </row>
  </sheetData>
  <sheetProtection algorithmName="SHA-512" hashValue="x5gZFhITjxKOI8CdJHb9DkjqShfWUbWeZUjJXqqAEyIx/E4DtfkX9Jdk0DkFGvAvctCXjOrO1nbRN1QtCo5dUg==" saltValue="/AYj41QvDbAXK3/hd7nmUg==" spinCount="100000" sheet="1" objects="1" scenarios="1" formatCells="0" formatColumns="0" formatRows="0" autoFilter="0"/>
  <protectedRanges>
    <protectedRange sqref="N7:N13 N14:P74 O10:P13" name="Range1"/>
    <protectedRange sqref="P1" name="Range2"/>
    <protectedRange sqref="AC7:AC11" name="Range2_1"/>
    <protectedRange sqref="M1" name="Range5_1"/>
  </protectedRanges>
  <conditionalFormatting sqref="N6:P74">
    <cfRule type="containsBlanks" dxfId="37" priority="15">
      <formula>LEN(TRIM(N6))=0</formula>
    </cfRule>
  </conditionalFormatting>
  <conditionalFormatting sqref="N6:Q74">
    <cfRule type="expression" dxfId="36" priority="8" stopIfTrue="1">
      <formula>$D6="Calculation"</formula>
    </cfRule>
  </conditionalFormatting>
  <conditionalFormatting sqref="O6:P74">
    <cfRule type="notContainsBlanks" dxfId="35" priority="7">
      <formula>LEN(TRIM(O6))&gt;0</formula>
    </cfRule>
  </conditionalFormatting>
  <conditionalFormatting sqref="P1">
    <cfRule type="containsBlanks" dxfId="34" priority="6">
      <formula>LEN(TRIM(P1))=0</formula>
    </cfRule>
  </conditionalFormatting>
  <conditionalFormatting sqref="Q6:Q74">
    <cfRule type="cellIs" dxfId="33" priority="9" operator="greaterThan">
      <formula>1</formula>
    </cfRule>
    <cfRule type="cellIs" dxfId="32" priority="10" operator="equal">
      <formula>1</formula>
    </cfRule>
    <cfRule type="cellIs" dxfId="31" priority="11" operator="greaterThanOrEqual">
      <formula>0.75</formula>
    </cfRule>
    <cfRule type="cellIs" dxfId="30" priority="12" operator="greaterThanOrEqual">
      <formula>0.5</formula>
    </cfRule>
    <cfRule type="cellIs" dxfId="29" priority="13" operator="greaterThanOrEqual">
      <formula>0.25</formula>
    </cfRule>
    <cfRule type="cellIs" dxfId="28" priority="14" operator="greaterThanOrEqual">
      <formula>0</formula>
    </cfRule>
  </conditionalFormatting>
  <conditionalFormatting sqref="X6:X19">
    <cfRule type="containsBlanks" dxfId="27" priority="16">
      <formula>LEN(TRIM(X6))=0</formula>
    </cfRule>
    <cfRule type="cellIs" dxfId="26" priority="17" operator="greaterThanOrEqual">
      <formula>1</formula>
    </cfRule>
    <cfRule type="cellIs" dxfId="25" priority="18" operator="greaterThanOrEqual">
      <formula>0.75</formula>
    </cfRule>
    <cfRule type="cellIs" dxfId="24" priority="19" operator="greaterThanOrEqual">
      <formula>0.5</formula>
    </cfRule>
    <cfRule type="cellIs" dxfId="23" priority="20" operator="greaterThanOrEqual">
      <formula>0.25</formula>
    </cfRule>
    <cfRule type="cellIs" dxfId="22" priority="21" operator="greaterThanOrEqual">
      <formula>0</formula>
    </cfRule>
  </conditionalFormatting>
  <conditionalFormatting sqref="AC7">
    <cfRule type="expression" dxfId="21" priority="2" stopIfTrue="1">
      <formula>$D7="Calculation"</formula>
    </cfRule>
    <cfRule type="notContainsBlanks" dxfId="20" priority="1">
      <formula>LEN(TRIM(AC7))&gt;0</formula>
    </cfRule>
  </conditionalFormatting>
  <conditionalFormatting sqref="AC7:AC11">
    <cfRule type="containsBlanks" dxfId="19" priority="3">
      <formula>LEN(TRIM(AC7))=0</formula>
    </cfRule>
  </conditionalFormatting>
  <dataValidations count="3">
    <dataValidation allowBlank="1" showInputMessage="1" showErrorMessage="1" sqref="N14 N19 N24 N33 N40 N48 N55 N59 N64 N72:N74" xr:uid="{9FC1F5DE-68C6-4456-B3EA-DF832BE19F75}"/>
    <dataValidation type="list" allowBlank="1" showInputMessage="1" showErrorMessage="1" sqref="AC7:AC11" xr:uid="{02401F84-296F-4235-A760-398A1F62CF94}">
      <formula1>"Yes, No"</formula1>
    </dataValidation>
    <dataValidation type="list" allowBlank="1" showInputMessage="1" showErrorMessage="1" sqref="F6:H74" xr:uid="{A3C722ED-69A7-41C8-862F-F40F718EE992}">
      <formula1>"Yes,No"</formula1>
    </dataValidation>
  </dataValidations>
  <pageMargins left="0.70866141732283472" right="0.70866141732283472" top="0.74803149606299213" bottom="0.74803149606299213" header="0.31496062992125984" footer="0.31496062992125984"/>
  <pageSetup paperSize="9" scale="37" fitToHeight="0" orientation="landscape" r:id="rId1"/>
  <headerFooter>
    <oddFooter>&amp;L&amp;F&amp;C&amp;A&amp;RPage &amp;P of &amp;N</oddFooter>
  </headerFooter>
  <drawing r:id="rId2"/>
  <legacyDrawing r:id="rId3"/>
  <tableParts count="2">
    <tablePart r:id="rId4"/>
    <tablePart r:id="rId5"/>
  </tableParts>
  <extLst>
    <ext xmlns:x14="http://schemas.microsoft.com/office/spreadsheetml/2009/9/main" uri="{78C0D931-6437-407d-A8EE-F0AAD7539E65}">
      <x14:conditionalFormattings>
        <x14:conditionalFormatting xmlns:xm="http://schemas.microsoft.com/office/excel/2006/main">
          <x14:cfRule type="containsText" priority="26" operator="containsText" id="{42472CB6-B74E-4E5A-819C-F651E1C2F1AF}">
            <xm:f>NOT(ISERROR(SEARCH(Guidance!$A$11,N7)))</xm:f>
            <xm:f>Guidance!$A$11</xm:f>
            <x14:dxf>
              <fill>
                <patternFill>
                  <bgColor rgb="FF00B050"/>
                </patternFill>
              </fill>
            </x14:dxf>
          </x14:cfRule>
          <x14:cfRule type="containsText" priority="25" operator="containsText" id="{8E0B91A0-A909-45C9-9B5A-AD66CC02E467}">
            <xm:f>NOT(ISERROR(SEARCH(Guidance!$A$12,N7)))</xm:f>
            <xm:f>Guidance!$A$12</xm:f>
            <x14:dxf>
              <fill>
                <patternFill>
                  <bgColor rgb="FF92D050"/>
                </patternFill>
              </fill>
            </x14:dxf>
          </x14:cfRule>
          <x14:cfRule type="containsText" priority="24" operator="containsText" id="{81345F6B-7EAA-4392-91A2-68FD7B0BAB73}">
            <xm:f>NOT(ISERROR(SEARCH(Guidance!$A$15,N7)))</xm:f>
            <xm:f>Guidance!$A$15</xm:f>
            <x14:dxf>
              <fill>
                <patternFill>
                  <bgColor rgb="FFFF0000"/>
                </patternFill>
              </fill>
            </x14:dxf>
          </x14:cfRule>
          <x14:cfRule type="containsText" priority="23" operator="containsText" id="{89F93BBE-16D7-49CA-964E-82AC4AE1CA43}">
            <xm:f>NOT(ISERROR(SEARCH(Guidance!$A$13,N7)))</xm:f>
            <xm:f>Guidance!$A$13</xm:f>
            <x14:dxf>
              <fill>
                <patternFill>
                  <bgColor rgb="FFFFFF00"/>
                </patternFill>
              </fill>
            </x14:dxf>
          </x14:cfRule>
          <x14:cfRule type="containsText" priority="22" operator="containsText" id="{323B53E9-2DF9-4476-BCCA-E19C85085DD9}">
            <xm:f>NOT(ISERROR(SEARCH(Guidance!$A$14,N7)))</xm:f>
            <xm:f>Guidance!$A$14</xm:f>
            <x14:dxf>
              <fill>
                <patternFill>
                  <bgColor rgb="FFFFC000"/>
                </patternFill>
              </fill>
            </x14:dxf>
          </x14:cfRule>
          <xm:sqref>N7:N74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0CD372B-06A3-46FA-AA18-AEEC3A88CD06}">
          <x14:formula1>
            <xm:f>Guidance!$A$11:$A$16</xm:f>
          </x14:formula1>
          <xm:sqref>N7</xm:sqref>
        </x14:dataValidation>
        <x14:dataValidation type="list" allowBlank="1" showInputMessage="1" showErrorMessage="1" xr:uid="{4F8FD93C-5E53-46E4-86AC-17928213E3A6}">
          <x14:formula1>
            <xm:f>Guidance!$A$11:$A$15</xm:f>
          </x14:formula1>
          <xm:sqref>N15:N18 N20:N23 N25:N32 N34:N39 N41:N47 N8:N13 N56:N58 N60:N63 N49:N54 N65:N71</xm:sqref>
        </x14:dataValidation>
      </x14:dataValidations>
    </ext>
    <ext xmlns:x15="http://schemas.microsoft.com/office/spreadsheetml/2010/11/main" uri="{3A4CF648-6AED-40f4-86FF-DC5316D8AED3}">
      <x14:slicerList xmlns:x14="http://schemas.microsoft.com/office/spreadsheetml/2009/9/main">
        <x14:slicer r:id="rId6"/>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pageSetUpPr fitToPage="1"/>
  </sheetPr>
  <dimension ref="A1:BC30"/>
  <sheetViews>
    <sheetView showGridLines="0" showRowColHeaders="0" zoomScale="70" zoomScaleNormal="70" workbookViewId="0">
      <pane ySplit="4" topLeftCell="A5" activePane="bottomLeft" state="frozen"/>
      <selection pane="bottomLeft" activeCell="H9" sqref="H9"/>
    </sheetView>
  </sheetViews>
  <sheetFormatPr baseColWidth="10" defaultColWidth="33.6640625" defaultRowHeight="16" x14ac:dyDescent="0.2"/>
  <cols>
    <col min="1" max="1" width="3.6640625" customWidth="1"/>
    <col min="2" max="2" width="20.1640625" customWidth="1"/>
    <col min="4" max="6" width="19.83203125" customWidth="1"/>
    <col min="7" max="7" width="19.83203125" customWidth="1" collapsed="1"/>
    <col min="8" max="18" width="19.83203125" customWidth="1"/>
    <col min="19" max="19" width="19.83203125" customWidth="1" collapsed="1"/>
    <col min="20" max="20" width="19.83203125" customWidth="1"/>
    <col min="21" max="21" width="21.1640625" customWidth="1"/>
    <col min="22" max="23" width="19.83203125" customWidth="1"/>
    <col min="24" max="24" width="15.1640625" customWidth="1"/>
    <col min="25" max="25" width="16.5" customWidth="1"/>
    <col min="26" max="26" width="16.1640625" customWidth="1"/>
    <col min="27" max="27" width="17.1640625" customWidth="1"/>
    <col min="28" max="28" width="22.1640625" customWidth="1"/>
    <col min="29" max="29" width="28.1640625" customWidth="1"/>
    <col min="30" max="30" width="24.33203125" customWidth="1"/>
    <col min="31" max="31" width="13.6640625" customWidth="1"/>
    <col min="32" max="32" width="12.6640625" customWidth="1"/>
    <col min="33" max="33" width="19" customWidth="1"/>
    <col min="34" max="34" width="12.1640625" customWidth="1"/>
    <col min="35" max="35" width="14.6640625" customWidth="1"/>
  </cols>
  <sheetData>
    <row r="1" spans="1:55" s="19" customFormat="1" x14ac:dyDescent="0.2">
      <c r="A1" s="15"/>
      <c r="B1" s="15"/>
      <c r="P1" s="15"/>
      <c r="Q1" s="15"/>
      <c r="R1" s="16"/>
      <c r="S1" s="15"/>
      <c r="T1" s="15"/>
      <c r="U1" s="16"/>
      <c r="V1" s="15"/>
      <c r="W1" s="15"/>
      <c r="X1" s="16"/>
      <c r="Y1" s="15"/>
      <c r="Z1" s="15"/>
      <c r="AA1" s="15"/>
      <c r="AB1" s="15"/>
      <c r="AC1" s="15"/>
      <c r="AD1" s="15"/>
      <c r="AH1" s="15"/>
      <c r="AI1" s="15"/>
      <c r="AM1" s="15"/>
      <c r="AN1" s="15"/>
      <c r="AW1" s="20"/>
      <c r="AX1" s="21"/>
      <c r="AY1" s="22"/>
      <c r="AZ1" s="22"/>
      <c r="BA1" s="22"/>
      <c r="BB1" s="22"/>
      <c r="BC1" s="22"/>
    </row>
    <row r="2" spans="1:55" s="19" customFormat="1" ht="19" x14ac:dyDescent="0.2">
      <c r="A2" s="17" t="s">
        <v>0</v>
      </c>
      <c r="B2" s="15"/>
      <c r="P2" s="15"/>
      <c r="Q2" s="15"/>
      <c r="R2" s="16"/>
      <c r="S2" s="15"/>
      <c r="T2" s="15"/>
      <c r="U2" s="16"/>
      <c r="V2" s="15"/>
      <c r="W2" s="15"/>
      <c r="X2" s="16"/>
      <c r="Y2" s="15"/>
      <c r="Z2" s="15"/>
      <c r="AA2" s="15"/>
      <c r="AB2" s="15"/>
      <c r="AC2" s="15"/>
      <c r="AD2" s="15"/>
      <c r="AH2" s="15"/>
      <c r="AI2" s="15"/>
      <c r="AM2" s="15"/>
      <c r="AN2" s="15"/>
      <c r="AW2" s="20"/>
      <c r="AX2" s="21"/>
      <c r="AY2" s="22"/>
      <c r="AZ2" s="22"/>
      <c r="BA2" s="22"/>
      <c r="BB2" s="22"/>
      <c r="BC2" s="22"/>
    </row>
    <row r="3" spans="1:55" s="19" customFormat="1" ht="19" x14ac:dyDescent="0.2">
      <c r="A3" s="17"/>
      <c r="B3" s="15"/>
      <c r="P3" s="15"/>
      <c r="Q3" s="15"/>
      <c r="R3" s="16"/>
      <c r="S3" s="15"/>
      <c r="T3" s="15"/>
      <c r="U3" s="16"/>
      <c r="V3" s="15"/>
      <c r="W3" s="15"/>
      <c r="X3" s="16"/>
      <c r="Y3" s="15"/>
      <c r="Z3" s="15"/>
      <c r="AA3" s="15"/>
      <c r="AB3" s="15"/>
      <c r="AC3" s="15"/>
      <c r="AD3" s="15"/>
      <c r="AH3" s="15"/>
      <c r="AI3" s="15"/>
      <c r="AM3" s="15"/>
      <c r="AN3" s="15"/>
      <c r="AW3" s="20"/>
      <c r="AX3" s="21"/>
      <c r="AY3" s="22"/>
      <c r="AZ3" s="22"/>
      <c r="BA3" s="22"/>
      <c r="BB3" s="22"/>
      <c r="BC3" s="22"/>
    </row>
    <row r="4" spans="1:55" s="19" customFormat="1" x14ac:dyDescent="0.2">
      <c r="A4" s="15" t="s">
        <v>3</v>
      </c>
      <c r="B4" s="15"/>
      <c r="P4" s="15"/>
      <c r="Q4" s="15"/>
      <c r="R4" s="16"/>
      <c r="S4" s="15"/>
      <c r="T4" s="15"/>
      <c r="U4" s="16"/>
      <c r="V4" s="15"/>
      <c r="W4" s="15"/>
      <c r="X4" s="16"/>
      <c r="Y4" s="15"/>
      <c r="Z4" s="15"/>
      <c r="AA4" s="15"/>
      <c r="AB4" s="15"/>
      <c r="AC4" s="15"/>
      <c r="AD4" s="15"/>
      <c r="AH4" s="15"/>
      <c r="AI4" s="15"/>
      <c r="AM4" s="15"/>
      <c r="AN4" s="15"/>
      <c r="AW4" s="20"/>
      <c r="AX4" s="21"/>
      <c r="AY4" s="22"/>
      <c r="AZ4" s="22"/>
      <c r="BA4" s="22"/>
      <c r="BB4" s="22"/>
      <c r="BC4" s="22"/>
    </row>
    <row r="5" spans="1:55" ht="26" x14ac:dyDescent="0.3">
      <c r="B5" s="4" t="s">
        <v>30</v>
      </c>
    </row>
    <row r="6" spans="1:55" ht="20" x14ac:dyDescent="0.25">
      <c r="B6" s="5" t="s">
        <v>317</v>
      </c>
    </row>
    <row r="7" spans="1:55" x14ac:dyDescent="0.2">
      <c r="B7" s="38"/>
      <c r="C7" s="37"/>
      <c r="D7" s="46" t="s">
        <v>54</v>
      </c>
      <c r="E7" s="40" t="s">
        <v>55</v>
      </c>
      <c r="F7" s="83" t="s">
        <v>318</v>
      </c>
      <c r="G7" s="46" t="str">
        <f>IF('District 1'!P1="","District",'District 1'!P1)</f>
        <v>District</v>
      </c>
    </row>
    <row r="8" spans="1:55" x14ac:dyDescent="0.2">
      <c r="B8" s="10" t="s">
        <v>319</v>
      </c>
      <c r="C8" s="82" t="s">
        <v>91</v>
      </c>
      <c r="D8" s="67" t="str">
        <f>VLOOKUP($C8,Results_water_national[[#All],[Building block]:[Index]],2,0)</f>
        <v/>
      </c>
      <c r="E8" s="67" t="str">
        <f>VLOOKUP($C8,Results_S_H_national[[#All],[Building block]:[Index]],2,0)</f>
        <v/>
      </c>
      <c r="F8" s="67" t="str">
        <f>VLOOKUP($C8,Results_HCF_national[[#All],[Building block]:[Index]],2,0)</f>
        <v/>
      </c>
      <c r="G8" s="67" t="str">
        <f>VLOOKUP($C8,Results_district_1[[#All],[Building block]:[Index]],2,0)</f>
        <v/>
      </c>
    </row>
    <row r="9" spans="1:55" x14ac:dyDescent="0.2">
      <c r="B9" s="10" t="s">
        <v>320</v>
      </c>
      <c r="C9" s="82" t="s">
        <v>95</v>
      </c>
      <c r="D9" s="67" t="str">
        <f>VLOOKUP($C9,Results_water_national[[#All],[Building block]:[Index]],2,0)</f>
        <v/>
      </c>
      <c r="E9" s="67" t="str">
        <f>VLOOKUP($C9,Results_S_H_national[[#All],[Building block]:[Index]],2,0)</f>
        <v/>
      </c>
      <c r="F9" s="67" t="str">
        <f>VLOOKUP($C9,Results_HCF_national[[#All],[Building block]:[Index]],2,0)</f>
        <v/>
      </c>
      <c r="G9" s="67" t="str">
        <f>VLOOKUP($C9,Results_district_1[[#All],[Building block]:[Index]],2,0)</f>
        <v/>
      </c>
    </row>
    <row r="10" spans="1:55" x14ac:dyDescent="0.2">
      <c r="B10" s="10" t="s">
        <v>321</v>
      </c>
      <c r="C10" s="82" t="s">
        <v>98</v>
      </c>
      <c r="D10" s="67" t="str">
        <f>VLOOKUP($C10,Results_water_national[[#All],[Building block]:[Index]],2,0)</f>
        <v/>
      </c>
      <c r="E10" s="67" t="str">
        <f>VLOOKUP($C10,Results_S_H_national[[#All],[Building block]:[Index]],2,0)</f>
        <v/>
      </c>
      <c r="F10" s="67" t="str">
        <f>VLOOKUP($C10,Results_HCF_national[[#All],[Building block]:[Index]],2,0)</f>
        <v/>
      </c>
      <c r="G10" s="67" t="str">
        <f>VLOOKUP($C10,Results_district_1[[#All],[Building block]:[Index]],2,0)</f>
        <v/>
      </c>
    </row>
    <row r="11" spans="1:55" x14ac:dyDescent="0.2">
      <c r="B11" s="39">
        <v>1</v>
      </c>
      <c r="C11" s="82" t="s">
        <v>87</v>
      </c>
      <c r="D11" s="67" t="str">
        <f>VLOOKUP($C11,Results_water_national[[#All],[Building block]:[Index]],2,0)</f>
        <v/>
      </c>
      <c r="E11" s="67" t="str">
        <f>VLOOKUP($C11,Results_S_H_national[[#All],[Building block]:[Index]],2,0)</f>
        <v/>
      </c>
      <c r="F11" s="67" t="str">
        <f>VLOOKUP($C11,Results_HCF_national[[#All],[Building block]:[Index]],2,0)</f>
        <v/>
      </c>
      <c r="G11" s="67" t="str">
        <f>VLOOKUP($C11,Results_district_1[[#All],[Building block]:[Index]],2,0)</f>
        <v/>
      </c>
    </row>
    <row r="12" spans="1:55" x14ac:dyDescent="0.2">
      <c r="B12" s="39">
        <v>2</v>
      </c>
      <c r="C12" s="82" t="s">
        <v>102</v>
      </c>
      <c r="D12" s="67" t="str">
        <f>VLOOKUP($C12,Results_water_national[[#All],[Building block]:[Index]],2,0)</f>
        <v/>
      </c>
      <c r="E12" s="67" t="str">
        <f>VLOOKUP($C12,Results_S_H_national[[#All],[Building block]:[Index]],2,0)</f>
        <v/>
      </c>
      <c r="F12" s="67" t="str">
        <f>VLOOKUP($C12,Results_HCF_national[[#All],[Building block]:[Index]],2,0)</f>
        <v/>
      </c>
      <c r="G12" s="67" t="str">
        <f>VLOOKUP($C12,Results_district_1[[#All],[Building block]:[Index]],2,0)</f>
        <v/>
      </c>
    </row>
    <row r="13" spans="1:55" ht="32" x14ac:dyDescent="0.2">
      <c r="B13" s="39">
        <v>3</v>
      </c>
      <c r="C13" s="82" t="s">
        <v>104</v>
      </c>
      <c r="D13" s="67" t="str">
        <f>VLOOKUP($C13,Results_water_national[[#All],[Building block]:[Index]],2,0)</f>
        <v/>
      </c>
      <c r="E13" s="67" t="str">
        <f>VLOOKUP($C13,Results_S_H_national[[#All],[Building block]:[Index]],2,0)</f>
        <v/>
      </c>
      <c r="F13" s="67" t="str">
        <f>VLOOKUP($C13,Results_HCF_national[[#All],[Building block]:[Index]],2,0)</f>
        <v/>
      </c>
      <c r="G13" s="67" t="str">
        <f>VLOOKUP($C13,Results_district_1[[#All],[Building block]:[Index]],2,0)</f>
        <v/>
      </c>
    </row>
    <row r="14" spans="1:55" x14ac:dyDescent="0.2">
      <c r="B14" s="39">
        <v>4</v>
      </c>
      <c r="C14" s="82" t="s">
        <v>106</v>
      </c>
      <c r="D14" s="67" t="str">
        <f>VLOOKUP($C14,Results_water_national[[#All],[Building block]:[Index]],2,0)</f>
        <v/>
      </c>
      <c r="E14" s="67" t="str">
        <f>VLOOKUP($C14,Results_S_H_national[[#All],[Building block]:[Index]],2,0)</f>
        <v/>
      </c>
      <c r="F14" s="67" t="str">
        <f>VLOOKUP($C14,Results_HCF_national[[#All],[Building block]:[Index]],2,0)</f>
        <v/>
      </c>
      <c r="G14" s="67" t="str">
        <f>VLOOKUP($C14,Results_district_1[[#All],[Building block]:[Index]],2,0)</f>
        <v/>
      </c>
    </row>
    <row r="15" spans="1:55" x14ac:dyDescent="0.2">
      <c r="B15" s="39">
        <v>5</v>
      </c>
      <c r="C15" s="82" t="s">
        <v>108</v>
      </c>
      <c r="D15" s="67" t="str">
        <f>VLOOKUP($C15,Results_water_national[[#All],[Building block]:[Index]],2,0)</f>
        <v/>
      </c>
      <c r="E15" s="67" t="str">
        <f>VLOOKUP($C15,Results_S_H_national[[#All],[Building block]:[Index]],2,0)</f>
        <v/>
      </c>
      <c r="F15" s="67" t="str">
        <f>VLOOKUP($C15,Results_HCF_national[[#All],[Building block]:[Index]],2,0)</f>
        <v/>
      </c>
      <c r="G15" s="67" t="str">
        <f>VLOOKUP($C15,Results_district_1[[#All],[Building block]:[Index]],2,0)</f>
        <v/>
      </c>
    </row>
    <row r="16" spans="1:55" x14ac:dyDescent="0.2">
      <c r="B16" s="39">
        <v>6</v>
      </c>
      <c r="C16" s="82" t="s">
        <v>110</v>
      </c>
      <c r="D16" s="67" t="str">
        <f>VLOOKUP($C16,Results_water_national[[#All],[Building block]:[Index]],2,0)</f>
        <v/>
      </c>
      <c r="E16" s="67" t="str">
        <f>VLOOKUP($C16,Results_S_H_national[[#All],[Building block]:[Index]],2,0)</f>
        <v/>
      </c>
      <c r="F16" s="67" t="str">
        <f>VLOOKUP($C16,Results_HCF_national[[#All],[Building block]:[Index]],2,0)</f>
        <v/>
      </c>
      <c r="G16" s="67" t="str">
        <f>VLOOKUP($C16,Results_district_1[[#All],[Building block]:[Index]],2,0)</f>
        <v/>
      </c>
    </row>
    <row r="17" spans="2:23" x14ac:dyDescent="0.2">
      <c r="B17" s="39">
        <v>7</v>
      </c>
      <c r="C17" s="82" t="s">
        <v>112</v>
      </c>
      <c r="D17" s="67" t="str">
        <f>VLOOKUP($C17,Results_water_national[[#All],[Building block]:[Index]],2,0)</f>
        <v/>
      </c>
      <c r="E17" s="67" t="str">
        <f>VLOOKUP($C17,Results_S_H_national[[#All],[Building block]:[Index]],2,0)</f>
        <v/>
      </c>
      <c r="F17" s="67" t="str">
        <f>VLOOKUP($C17,Results_HCF_national[[#All],[Building block]:[Index]],2,0)</f>
        <v/>
      </c>
      <c r="G17" s="67" t="str">
        <f>VLOOKUP($C17,Results_district_1[[#All],[Building block]:[Index]],2,0)</f>
        <v/>
      </c>
    </row>
    <row r="18" spans="2:23" x14ac:dyDescent="0.2">
      <c r="B18" s="39">
        <v>8</v>
      </c>
      <c r="C18" s="82" t="s">
        <v>114</v>
      </c>
      <c r="D18" s="67" t="str">
        <f>VLOOKUP($C18,Results_water_national[[#All],[Building block]:[Index]],2,0)</f>
        <v/>
      </c>
      <c r="E18" s="67" t="str">
        <f>VLOOKUP($C18,Results_S_H_national[[#All],[Building block]:[Index]],2,0)</f>
        <v/>
      </c>
      <c r="F18" s="67" t="str">
        <f>VLOOKUP($C18,Results_HCF_national[[#All],[Building block]:[Index]],2,0)</f>
        <v/>
      </c>
      <c r="G18" s="67" t="str">
        <f>VLOOKUP($C18,Results_district_1[[#All],[Building block]:[Index]],2,0)</f>
        <v/>
      </c>
    </row>
    <row r="19" spans="2:23" x14ac:dyDescent="0.2">
      <c r="B19" s="39">
        <v>9</v>
      </c>
      <c r="C19" s="82" t="s">
        <v>117</v>
      </c>
      <c r="D19" s="67" t="str">
        <f>VLOOKUP($C19,Results_water_national[[#All],[Building block]:[Index]],2,0)</f>
        <v/>
      </c>
      <c r="E19" s="67" t="str">
        <f>VLOOKUP($C19,Results_S_H_national[[#All],[Building block]:[Index]],2,0)</f>
        <v/>
      </c>
      <c r="F19" s="67" t="str">
        <f>VLOOKUP($C19,Results_HCF_national[[#All],[Building block]:[Index]],2,0)</f>
        <v/>
      </c>
      <c r="G19" s="67" t="str">
        <f>VLOOKUP($C19,Results_district_1[[#All],[Building block]:[Index]],2,0)</f>
        <v/>
      </c>
    </row>
    <row r="20" spans="2:23" x14ac:dyDescent="0.2">
      <c r="B20" s="39">
        <v>10</v>
      </c>
      <c r="C20" s="82" t="s">
        <v>119</v>
      </c>
      <c r="D20" s="67" t="str">
        <f>VLOOKUP($C20,Results_water_national[[#All],[Building block]:[Index]],2,0)</f>
        <v/>
      </c>
      <c r="E20" s="67" t="str">
        <f>VLOOKUP($C20,Results_S_H_national[[#All],[Building block]:[Index]],2,0)</f>
        <v/>
      </c>
      <c r="F20" s="67" t="str">
        <f>VLOOKUP($C20,Results_HCF_national[[#All],[Building block]:[Index]],2,0)</f>
        <v/>
      </c>
      <c r="G20" s="67" t="str">
        <f>VLOOKUP($C20,Results_district_1[[#All],[Building block]:[Index]],2,0)</f>
        <v/>
      </c>
    </row>
    <row r="21" spans="2:23" ht="34" x14ac:dyDescent="0.2">
      <c r="B21" s="38"/>
      <c r="C21" s="62" t="s">
        <v>322</v>
      </c>
      <c r="D21" s="67" t="str">
        <f>IFERROR(AVERAGE(D11:D20),"")</f>
        <v/>
      </c>
      <c r="E21" s="67" t="str">
        <f t="shared" ref="E21:G21" si="0">IFERROR(AVERAGE(E11:E20),"")</f>
        <v/>
      </c>
      <c r="F21" s="67" t="str">
        <f t="shared" si="0"/>
        <v/>
      </c>
      <c r="G21" s="67" t="str">
        <f t="shared" si="0"/>
        <v/>
      </c>
    </row>
    <row r="22" spans="2:23" x14ac:dyDescent="0.2">
      <c r="D22" s="8"/>
      <c r="E22" s="8"/>
      <c r="F22" s="8"/>
      <c r="G22" s="8"/>
      <c r="H22" s="8"/>
      <c r="I22" s="8"/>
      <c r="J22" s="8"/>
      <c r="K22" s="8"/>
      <c r="L22" s="8"/>
      <c r="M22" s="8"/>
      <c r="N22" s="8"/>
      <c r="O22" s="8"/>
      <c r="P22" s="8"/>
      <c r="Q22" s="8"/>
      <c r="R22" s="8"/>
      <c r="S22" s="8"/>
      <c r="T22" s="8"/>
      <c r="U22" s="8"/>
      <c r="V22" s="8"/>
      <c r="W22" s="8"/>
    </row>
    <row r="23" spans="2:23" x14ac:dyDescent="0.2">
      <c r="D23" s="8"/>
      <c r="E23" s="8"/>
      <c r="F23" s="8"/>
      <c r="G23" s="8"/>
      <c r="H23" s="8"/>
      <c r="I23" s="8"/>
      <c r="J23" s="8"/>
      <c r="K23" s="8"/>
      <c r="L23" s="8"/>
      <c r="M23" s="8"/>
      <c r="N23" s="8"/>
      <c r="O23" s="8"/>
      <c r="P23" s="8"/>
      <c r="Q23" s="8"/>
      <c r="R23" s="8"/>
      <c r="S23" s="8"/>
      <c r="T23" s="8"/>
      <c r="U23" s="8"/>
      <c r="V23" s="8"/>
      <c r="W23" s="8"/>
    </row>
    <row r="24" spans="2:23" x14ac:dyDescent="0.2">
      <c r="B24" s="8"/>
      <c r="C24" s="8"/>
      <c r="D24" s="8"/>
      <c r="E24" s="8"/>
      <c r="F24" s="8"/>
      <c r="G24" s="8"/>
      <c r="H24" s="8"/>
      <c r="I24" s="8"/>
      <c r="J24" s="8"/>
      <c r="K24" s="8"/>
      <c r="L24" s="8"/>
      <c r="M24" s="8"/>
      <c r="N24" s="8"/>
      <c r="O24" s="8"/>
      <c r="P24" s="8"/>
      <c r="Q24" s="8"/>
      <c r="R24" s="8"/>
      <c r="S24" s="8"/>
      <c r="T24" s="8"/>
      <c r="U24" s="8"/>
      <c r="V24" s="8"/>
      <c r="W24" s="8"/>
    </row>
    <row r="25" spans="2:23" ht="39.5" customHeight="1" x14ac:dyDescent="0.2">
      <c r="B25" s="8"/>
      <c r="C25" s="60" t="s">
        <v>323</v>
      </c>
      <c r="D25" s="71" t="str">
        <f>IF(D21=0,"",_xlfn.XLOOKUP(MIN(D$8:D$20),D$8:D$20,$C$8:$C$20,"",0))</f>
        <v/>
      </c>
      <c r="E25" s="71" t="str">
        <f t="shared" ref="E25:G25" si="1">IF(E21=0,"",_xlfn.XLOOKUP(MIN(E$8:E$20),E$8:E$20,$C$8:$C$20,"",0))</f>
        <v/>
      </c>
      <c r="F25" s="71" t="str">
        <f t="shared" si="1"/>
        <v/>
      </c>
      <c r="G25" s="71" t="str">
        <f t="shared" si="1"/>
        <v/>
      </c>
      <c r="H25" s="8"/>
      <c r="I25" s="8"/>
      <c r="J25" s="8"/>
      <c r="K25" s="8"/>
      <c r="L25" s="8"/>
      <c r="M25" s="8"/>
      <c r="N25" s="8"/>
      <c r="O25" s="8"/>
      <c r="P25" s="8"/>
      <c r="Q25" s="8"/>
      <c r="R25" s="8"/>
      <c r="S25" s="8"/>
      <c r="T25" s="8"/>
      <c r="U25" s="8"/>
      <c r="V25" s="8"/>
      <c r="W25" s="8"/>
    </row>
    <row r="26" spans="2:23" ht="39.5" customHeight="1" x14ac:dyDescent="0.2">
      <c r="B26" s="8"/>
      <c r="C26" s="60" t="s">
        <v>324</v>
      </c>
      <c r="D26" s="71" t="str">
        <f>IF(D22=0,"",_xlfn.XLOOKUP(MAX(D$8:D$20),D$8:D$20,$C$8:$C$20,"",0))</f>
        <v/>
      </c>
      <c r="E26" s="71" t="str">
        <f>IF(E22=0,"",_xlfn.XLOOKUP(MAX(E$8:E$20),E$8:E$20,$C$8:$C$20,"",0))</f>
        <v/>
      </c>
      <c r="F26" s="71" t="str">
        <f>IF(F22=0,"",_xlfn.XLOOKUP(MAX(F$8:F$20),F$8:F$20,$C$8:$C$20,"",0))</f>
        <v/>
      </c>
      <c r="G26" s="71" t="str">
        <f>IF(G22=0,"",_xlfn.XLOOKUP(MAX(G$8:G$20),G$8:G$20,$C$8:$C$20,"",0))</f>
        <v/>
      </c>
      <c r="H26" s="8"/>
      <c r="I26" s="8"/>
      <c r="J26" s="8"/>
      <c r="K26" s="8"/>
      <c r="L26" s="8"/>
      <c r="M26" s="8"/>
      <c r="N26" s="8"/>
      <c r="O26" s="8"/>
      <c r="P26" s="8"/>
      <c r="Q26" s="8"/>
      <c r="R26" s="8"/>
      <c r="S26" s="8"/>
      <c r="T26" s="8"/>
      <c r="U26" s="8"/>
      <c r="V26" s="8"/>
      <c r="W26" s="8"/>
    </row>
    <row r="27" spans="2:23" x14ac:dyDescent="0.2">
      <c r="B27" s="8"/>
      <c r="C27" s="8"/>
      <c r="D27" s="8"/>
      <c r="E27" s="8"/>
      <c r="F27" s="8"/>
      <c r="G27" s="8"/>
      <c r="H27" s="8"/>
      <c r="I27" s="8"/>
      <c r="J27" s="8"/>
      <c r="K27" s="8"/>
      <c r="L27" s="8"/>
      <c r="M27" s="8"/>
      <c r="N27" s="8"/>
      <c r="O27" s="8"/>
      <c r="P27" s="8"/>
      <c r="Q27" s="8"/>
      <c r="R27" s="8"/>
      <c r="S27" s="8"/>
      <c r="T27" s="8"/>
      <c r="U27" s="8"/>
      <c r="V27" s="8"/>
      <c r="W27" s="8"/>
    </row>
    <row r="28" spans="2:23" x14ac:dyDescent="0.2">
      <c r="B28" s="8"/>
      <c r="C28" s="8"/>
      <c r="D28" s="8"/>
      <c r="E28" s="8"/>
      <c r="F28" s="8"/>
      <c r="G28" s="8"/>
      <c r="H28" s="8"/>
      <c r="I28" s="8"/>
      <c r="J28" s="8"/>
      <c r="K28" s="8"/>
      <c r="L28" s="8"/>
      <c r="M28" s="8"/>
      <c r="N28" s="8"/>
      <c r="O28" s="8"/>
      <c r="P28" s="8"/>
      <c r="Q28" s="8"/>
      <c r="R28" s="8"/>
      <c r="S28" s="8"/>
      <c r="T28" s="8"/>
      <c r="U28" s="8"/>
      <c r="V28" s="8"/>
      <c r="W28" s="8"/>
    </row>
    <row r="29" spans="2:23" x14ac:dyDescent="0.2">
      <c r="H29" s="8"/>
      <c r="I29" s="8"/>
      <c r="J29" s="8"/>
      <c r="K29" s="8"/>
      <c r="L29" s="8"/>
      <c r="M29" s="8"/>
      <c r="N29" s="8"/>
      <c r="O29" s="8"/>
      <c r="P29" s="8"/>
      <c r="Q29" s="8"/>
      <c r="R29" s="8"/>
      <c r="S29" s="8"/>
      <c r="T29" s="8"/>
      <c r="U29" s="8"/>
      <c r="V29" s="8"/>
      <c r="W29" s="8"/>
    </row>
    <row r="30" spans="2:23" x14ac:dyDescent="0.2">
      <c r="H30" s="8"/>
      <c r="I30" s="8"/>
      <c r="J30" s="8"/>
      <c r="K30" s="8"/>
      <c r="L30" s="8"/>
      <c r="M30" s="8"/>
      <c r="N30" s="8"/>
      <c r="O30" s="8"/>
      <c r="P30" s="8"/>
      <c r="Q30" s="8"/>
      <c r="R30" s="8"/>
      <c r="S30" s="8"/>
      <c r="T30" s="8"/>
      <c r="U30" s="8"/>
      <c r="V30" s="8"/>
      <c r="W30" s="8"/>
    </row>
  </sheetData>
  <sheetProtection algorithmName="SHA-512" hashValue="WXl+zv1B3ICe++twsdOhFIcL3PD1yu85LPjYcx5OTnqyQRp5Hq/thaqkH1VqAU4huX8u80YR4Cir5Kkyuj0Tsw==" saltValue="gDA1TZ9L5gtfTWdRDl/Gyw==" spinCount="100000" sheet="1" objects="1" scenarios="1" formatCells="0" formatColumns="0" formatRows="0" autoFilter="0"/>
  <phoneticPr fontId="18" type="noConversion"/>
  <conditionalFormatting sqref="B24:C24 B25:B26 H25:W30 B27:G28">
    <cfRule type="containsBlanks" dxfId="18" priority="191">
      <formula>LEN(TRIM(B24))=0</formula>
    </cfRule>
    <cfRule type="cellIs" dxfId="17" priority="192" operator="greaterThanOrEqual">
      <formula>1</formula>
    </cfRule>
    <cfRule type="cellIs" dxfId="16" priority="193" operator="greaterThanOrEqual">
      <formula>0.75</formula>
    </cfRule>
    <cfRule type="cellIs" dxfId="15" priority="194" operator="greaterThanOrEqual">
      <formula>0.5</formula>
    </cfRule>
    <cfRule type="cellIs" dxfId="14" priority="195" operator="greaterThanOrEqual">
      <formula>0.25</formula>
    </cfRule>
    <cfRule type="cellIs" dxfId="13" priority="196" operator="greaterThanOrEqual">
      <formula>0</formula>
    </cfRule>
  </conditionalFormatting>
  <conditionalFormatting sqref="D8:G21">
    <cfRule type="containsBlanks" dxfId="12" priority="75">
      <formula>LEN(TRIM(D8))=0</formula>
    </cfRule>
    <cfRule type="cellIs" dxfId="11" priority="76" operator="greaterThanOrEqual">
      <formula>1</formula>
    </cfRule>
    <cfRule type="cellIs" dxfId="10" priority="77" operator="greaterThanOrEqual">
      <formula>0.75</formula>
    </cfRule>
    <cfRule type="cellIs" dxfId="9" priority="78" operator="greaterThanOrEqual">
      <formula>0.5</formula>
    </cfRule>
    <cfRule type="cellIs" dxfId="8" priority="79" operator="greaterThanOrEqual">
      <formula>0.25</formula>
    </cfRule>
    <cfRule type="cellIs" dxfId="7" priority="80" operator="greaterThanOrEqual">
      <formula>0</formula>
    </cfRule>
  </conditionalFormatting>
  <conditionalFormatting sqref="D11:G21">
    <cfRule type="cellIs" dxfId="6" priority="74" operator="equal">
      <formula>0</formula>
    </cfRule>
  </conditionalFormatting>
  <conditionalFormatting sqref="D22:W24">
    <cfRule type="containsBlanks" dxfId="5" priority="183">
      <formula>LEN(TRIM(D22))=0</formula>
    </cfRule>
    <cfRule type="cellIs" dxfId="4" priority="184" operator="greaterThanOrEqual">
      <formula>1</formula>
    </cfRule>
    <cfRule type="cellIs" dxfId="3" priority="185" operator="greaterThanOrEqual">
      <formula>0.75</formula>
    </cfRule>
    <cfRule type="cellIs" dxfId="2" priority="186" operator="greaterThanOrEqual">
      <formula>0.5</formula>
    </cfRule>
    <cfRule type="cellIs" dxfId="1" priority="187" operator="greaterThanOrEqual">
      <formula>0.25</formula>
    </cfRule>
    <cfRule type="cellIs" dxfId="0" priority="188" operator="greaterThanOrEqual">
      <formula>0</formula>
    </cfRule>
  </conditionalFormatting>
  <pageMargins left="0.70866141732283472" right="0.70866141732283472" top="0.74803149606299213" bottom="0.74803149606299213" header="0.31496062992125984" footer="0.31496062992125984"/>
  <pageSetup paperSize="9" scale="31" orientation="portrait" r:id="rId1"/>
  <headerFooter>
    <oddFooter>&amp;L&amp;F&amp;C&amp;A&amp;RPage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D74"/>
  <sheetViews>
    <sheetView showGridLines="0" workbookViewId="0">
      <selection activeCell="C3" sqref="C3"/>
    </sheetView>
  </sheetViews>
  <sheetFormatPr baseColWidth="10" defaultColWidth="8.83203125" defaultRowHeight="16" x14ac:dyDescent="0.2"/>
  <cols>
    <col min="1" max="1" width="27.6640625" style="2" customWidth="1"/>
    <col min="2" max="2" width="8.1640625" style="60"/>
    <col min="3" max="3" width="102.1640625" style="2" customWidth="1"/>
    <col min="4" max="4" width="16.1640625" style="42" customWidth="1"/>
  </cols>
  <sheetData>
    <row r="1" spans="1:4" ht="20" x14ac:dyDescent="0.25">
      <c r="A1" s="45" t="s">
        <v>7</v>
      </c>
      <c r="B1" s="45" t="s">
        <v>54</v>
      </c>
    </row>
    <row r="2" spans="1:4" ht="17" x14ac:dyDescent="0.2">
      <c r="A2" s="44" t="s">
        <v>75</v>
      </c>
      <c r="B2" s="55" t="s">
        <v>76</v>
      </c>
      <c r="C2" s="44" t="s">
        <v>186</v>
      </c>
      <c r="D2" s="44" t="s">
        <v>325</v>
      </c>
    </row>
    <row r="3" spans="1:4" ht="50" customHeight="1" x14ac:dyDescent="0.2">
      <c r="A3" s="50" t="s">
        <v>179</v>
      </c>
      <c r="B3" s="68" t="s">
        <v>90</v>
      </c>
      <c r="C3" s="50" t="str">
        <f>VLOOKUP(B3,tblNational_water[[Code]:[Benchmark]],2,0)</f>
        <v>Index Indicator climate: WASH services are able to be delivered to populations and adapt when needed, during and after experiences of climate-induced hazards; and in turn, enable resilience among populations to the effects of climate change.</v>
      </c>
      <c r="D3" s="50"/>
    </row>
    <row r="4" spans="1:4" ht="50" customHeight="1" x14ac:dyDescent="0.2">
      <c r="A4" s="50" t="s">
        <v>181</v>
      </c>
      <c r="B4" s="68" t="s">
        <v>94</v>
      </c>
      <c r="C4" s="50" t="str">
        <f>VLOOKUP(B4,tblNational_water[[Code]:[Benchmark]],2,0)</f>
        <v>Index Indicator Capacity: The service authority (e.g. ministry), service providers, and regulator have capacity to plan and implement service system improvements based on data (indexed Index Indicator)</v>
      </c>
      <c r="D4" s="50"/>
    </row>
    <row r="5" spans="1:4" ht="50" customHeight="1" x14ac:dyDescent="0.2">
      <c r="A5" s="50" t="s">
        <v>183</v>
      </c>
      <c r="B5" s="68" t="s">
        <v>97</v>
      </c>
      <c r="C5" s="50" t="str">
        <f>VLOOKUP(B5,tblNational_water[[Code]:[Benchmark]],2,0)</f>
        <v xml:space="preserve">Index Indicator GESI: The vulnerable households/groups /communities/people with disabilities are identified and acknowledged for support by government to ensure safe and sustainable services, and services are specifically adapted and sustainable extended to meet the needs of these populations. </v>
      </c>
      <c r="D5" s="50"/>
    </row>
    <row r="6" spans="1:4" ht="17" x14ac:dyDescent="0.2">
      <c r="A6" s="48" t="s">
        <v>87</v>
      </c>
      <c r="B6" s="56">
        <v>1</v>
      </c>
      <c r="C6" s="48" t="str">
        <f>VLOOKUP(B6,tblNational_water[[Code]:[Benchmark]],2,0)</f>
        <v>Overall Finance</v>
      </c>
      <c r="D6" s="49"/>
    </row>
    <row r="7" spans="1:4" ht="50" customHeight="1" x14ac:dyDescent="0.2">
      <c r="A7" s="43" t="s">
        <v>87</v>
      </c>
      <c r="B7" s="57">
        <v>1.1000000000000001</v>
      </c>
      <c r="C7" s="43" t="str">
        <f>VLOOKUP(B7,tblNational_water[[Code]:[Benchmark]],2,0)</f>
        <v>For each of the cost categories (capital expenditure, capital maintenance, operational expenditure, direct support and indirect support), the main sources of funding (and finance) and funding flows are defined.</v>
      </c>
      <c r="D7" s="41"/>
    </row>
    <row r="8" spans="1:4" ht="50" customHeight="1" x14ac:dyDescent="0.2">
      <c r="A8" s="43" t="s">
        <v>87</v>
      </c>
      <c r="B8" s="57">
        <v>1.2</v>
      </c>
      <c r="C8" s="43" t="str">
        <f>VLOOKUP(B8,tblNational_water[[Code]:[Benchmark]],2,0)</f>
        <v>There is a comprehensive (quantitative) assessment of the finance gap</v>
      </c>
      <c r="D8" s="41"/>
    </row>
    <row r="9" spans="1:4" ht="62.75" customHeight="1" x14ac:dyDescent="0.2">
      <c r="A9" s="43" t="s">
        <v>87</v>
      </c>
      <c r="B9" s="57">
        <v>1.3</v>
      </c>
      <c r="C9" s="43" t="str">
        <f>VLOOKUP(B9,tblNational_water[[Code]:[Benchmark]],2,0)</f>
        <v>There is a comprehensive national finance strategy, detailing the various strategies to reduce any funding gap.</v>
      </c>
      <c r="D9" s="41"/>
    </row>
    <row r="10" spans="1:4" ht="60" customHeight="1" x14ac:dyDescent="0.2">
      <c r="A10" s="43" t="s">
        <v>87</v>
      </c>
      <c r="B10" s="57">
        <v>1.4</v>
      </c>
      <c r="C10" s="43" t="str">
        <f>VLOOKUP(B10,tblNational_water[[Code]:[Benchmark]],2,0)</f>
        <v xml:space="preserve">There are financial considerations and nationally defined mechanisms (like subsidies) for households from marginalized communities, including people with disabilities and gender-responsive, inclusive budgeting. Specific budgets are available to target these groups, and the effectiveness of these subsidies/mechanisms is regularly reviewed. (Please indicate which marginalised groups are covered in the notes/justification of scores (e.g. remote, rural, IDP/refugee, PWDs, older adults, women and girls instead)). </v>
      </c>
      <c r="D10" s="41"/>
    </row>
    <row r="11" spans="1:4" ht="62.75" customHeight="1" x14ac:dyDescent="0.2">
      <c r="A11" s="43" t="s">
        <v>87</v>
      </c>
      <c r="B11" s="57">
        <v>1.5</v>
      </c>
      <c r="C11" s="43" t="str">
        <f>VLOOKUP(B11,tblNational_water[[Code]:[Benchmark]],2,0)</f>
        <v xml:space="preserve">There is a comprehensive assessment of the cost and funding gaps of climate adaptation in the water service sector under different scenarios, e.g. considering prolonged droughts or more frequent floods. </v>
      </c>
      <c r="D11" s="41"/>
    </row>
    <row r="12" spans="1:4" ht="17" x14ac:dyDescent="0.2">
      <c r="A12" s="48" t="s">
        <v>102</v>
      </c>
      <c r="B12" s="56">
        <v>2</v>
      </c>
      <c r="C12" s="48" t="str">
        <f>VLOOKUP(B12,tblNational_water[[Code]:[Benchmark]],2,0)</f>
        <v>Overall Infrastructure Development</v>
      </c>
      <c r="D12" s="49"/>
    </row>
    <row r="13" spans="1:4" ht="50" customHeight="1" x14ac:dyDescent="0.2">
      <c r="A13" s="43" t="s">
        <v>102</v>
      </c>
      <c r="B13" s="57">
        <v>2.1</v>
      </c>
      <c r="C13" s="43" t="str">
        <f>VLOOKUP(B13,tblNational_water[[Code]:[Benchmark]],2,0)</f>
        <v>The project delivery models and procurement procedures for capital investments projects are clearly articulated in government-sanctioned implementation manuals. These are sufficiently differentiated for different segments of the population and articulated with the service delivery models.</v>
      </c>
      <c r="D13" s="41"/>
    </row>
    <row r="14" spans="1:4" ht="50" customHeight="1" x14ac:dyDescent="0.2">
      <c r="A14" s="43" t="s">
        <v>102</v>
      </c>
      <c r="B14" s="57">
        <v>2.2000000000000002</v>
      </c>
      <c r="C14" s="43" t="str">
        <f>VLOOKUP(B14,tblNational_water[[Code]:[Benchmark]],2,0)</f>
        <v>There are mechanisms and capacity in place to ensure due diligence, regulation and control over procurement, and these mechanisms are being used in practice by national stakeholders.</v>
      </c>
      <c r="D14" s="53"/>
    </row>
    <row r="15" spans="1:4" ht="50" customHeight="1" x14ac:dyDescent="0.2">
      <c r="A15" s="43" t="s">
        <v>102</v>
      </c>
      <c r="B15" s="57">
        <v>2.2999999999999998</v>
      </c>
      <c r="C15" s="43" t="str">
        <f>VLOOKUP(B15,tblNational_water[[Code]:[Benchmark]],2,0)</f>
        <v>The guidelines/manuals provide designs suitable for women (including pregnant women), elderly, people with disabilities, adolescent girls and children.</v>
      </c>
      <c r="D15" s="41"/>
    </row>
    <row r="16" spans="1:4" ht="50" customHeight="1" x14ac:dyDescent="0.2">
      <c r="A16" s="43" t="s">
        <v>102</v>
      </c>
      <c r="B16" s="57">
        <v>2.4</v>
      </c>
      <c r="C16" s="43" t="str">
        <f>VLOOKUP(B16,tblNational_water[[Code]:[Benchmark]],2,0)</f>
        <v>Water service delivery infrastructure development are based on locally-led risk analysis that addresses climate change factors and these mechanisms minimise population exposure to potential failure arising from climatic hazards in different contexts.</v>
      </c>
      <c r="D16" s="41"/>
    </row>
    <row r="17" spans="1:4" ht="50" hidden="1" customHeight="1" x14ac:dyDescent="0.2">
      <c r="A17" s="43" t="s">
        <v>102</v>
      </c>
      <c r="B17" s="57">
        <v>2.5</v>
      </c>
      <c r="C17" s="43" t="e">
        <f>VLOOKUP(B17,tblNational_water[[Code]:[Benchmark]],2,0)</f>
        <v>#N/A</v>
      </c>
      <c r="D17" s="41"/>
    </row>
    <row r="18" spans="1:4" ht="50" hidden="1" customHeight="1" x14ac:dyDescent="0.2">
      <c r="A18" s="43" t="s">
        <v>102</v>
      </c>
      <c r="B18" s="57">
        <v>2.6</v>
      </c>
      <c r="C18" s="43" t="e">
        <f>VLOOKUP(B18,tblNational_water[[Code]:[Benchmark]],2,0)</f>
        <v>#N/A</v>
      </c>
      <c r="D18" s="41"/>
    </row>
    <row r="19" spans="1:4" ht="17" x14ac:dyDescent="0.2">
      <c r="A19" s="48" t="s">
        <v>115</v>
      </c>
      <c r="B19" s="56">
        <v>3</v>
      </c>
      <c r="C19" s="48" t="str">
        <f>VLOOKUP(B19,tblNational_water[[Code]:[Benchmark]],2,0)</f>
        <v>Overall Infrastructure management</v>
      </c>
      <c r="D19" s="49"/>
    </row>
    <row r="20" spans="1:4" ht="50" customHeight="1" x14ac:dyDescent="0.2">
      <c r="A20" s="43" t="s">
        <v>115</v>
      </c>
      <c r="B20" s="57">
        <v>3.1</v>
      </c>
      <c r="C20" s="43" t="str">
        <f>VLOOKUP(B20,tblNational_water[[Code]:[Benchmark]],2,0)</f>
        <v>Asset ownership is clearly defined in laws and regulation.</v>
      </c>
      <c r="D20" s="41"/>
    </row>
    <row r="21" spans="1:4" ht="50" customHeight="1" x14ac:dyDescent="0.2">
      <c r="A21" s="43" t="s">
        <v>115</v>
      </c>
      <c r="B21" s="57">
        <v>3.2</v>
      </c>
      <c r="C21" s="43" t="str">
        <f>VLOOKUP(B21,tblNational_water[[Code]:[Benchmark]],2,0)</f>
        <v>A up-to-date inventory (state or national level) exists of all (or most) public infrastructure assets, including age and current physical state of assets.</v>
      </c>
      <c r="D21" s="41"/>
    </row>
    <row r="22" spans="1:4" ht="50" customHeight="1" x14ac:dyDescent="0.2">
      <c r="A22" s="43" t="s">
        <v>115</v>
      </c>
      <c r="B22" s="57">
        <v>3.3</v>
      </c>
      <c r="C22" s="43" t="str">
        <f>VLOOKUP(B22,tblNational_water[[Code]:[Benchmark]],2,0)</f>
        <v>Asset management is operationalised through standard tools, guidelines and trainings.</v>
      </c>
      <c r="D22" s="41"/>
    </row>
    <row r="23" spans="1:4" ht="50" hidden="1" customHeight="1" x14ac:dyDescent="0.2">
      <c r="A23" s="43" t="s">
        <v>115</v>
      </c>
      <c r="B23" s="57">
        <v>3.4</v>
      </c>
      <c r="C23" s="43" t="str">
        <f>VLOOKUP(B23,tblNational_water[[Code]:[Benchmark]],2,0)</f>
        <v>National level support to service authorities, so these can ensure that technical and/or financial support is available to service providers.</v>
      </c>
      <c r="D23" s="41"/>
    </row>
    <row r="24" spans="1:4" ht="17" x14ac:dyDescent="0.2">
      <c r="A24" s="48" t="s">
        <v>106</v>
      </c>
      <c r="B24" s="56">
        <v>4</v>
      </c>
      <c r="C24" s="48" t="str">
        <f>VLOOKUP(B24,tblNational_water[[Code]:[Benchmark]],2,0)</f>
        <v>Overall Institutions building block</v>
      </c>
      <c r="D24" s="49"/>
    </row>
    <row r="25" spans="1:4" ht="50" customHeight="1" x14ac:dyDescent="0.2">
      <c r="A25" s="43" t="s">
        <v>106</v>
      </c>
      <c r="B25" s="57">
        <v>4.0999999999999996</v>
      </c>
      <c r="C25" s="43" t="str">
        <f>VLOOKUP(B25,tblNational_water[[Code]:[Benchmark]],2,0)</f>
        <v xml:space="preserve">All key water related functions (policy development, infrastructure development, service delivery, service authority, regulation, monitoring and oversight, financing, water resources management, etc) are clearly assigned to specific institutions, without unfulfilled functions or unhelpful duplications. </v>
      </c>
      <c r="D25" s="53"/>
    </row>
    <row r="26" spans="1:4" ht="50" customHeight="1" x14ac:dyDescent="0.2">
      <c r="A26" s="43" t="s">
        <v>106</v>
      </c>
      <c r="B26" s="57">
        <v>4.2</v>
      </c>
      <c r="C26" s="43" t="str">
        <f>VLOOKUP(B26,tblNational_water[[Code]:[Benchmark]],2,0)</f>
        <v>The assigned functions and mandates of the institutions are well-understood by the different stakeholders at both national and decentralised levels. This is includes institutional clarity for water supply in health care facilities, schools, public places, and households.</v>
      </c>
      <c r="D26" s="41"/>
    </row>
    <row r="27" spans="1:4" ht="50" customHeight="1" x14ac:dyDescent="0.2">
      <c r="A27" s="43" t="s">
        <v>106</v>
      </c>
      <c r="B27" s="57">
        <v>4.3</v>
      </c>
      <c r="C27" s="43" t="str">
        <f>VLOOKUP(B27,tblNational_water[[Code]:[Benchmark]],2,0)</f>
        <v>Adequate and functional relationships and coordination mechanisms exist: 1) among national level sector-related institutions, 2) between national and decentralised institutions, 3) with institutions of related sectors such as health, education, gender mainstreaming</v>
      </c>
      <c r="D27" s="41"/>
    </row>
    <row r="28" spans="1:4" ht="50" customHeight="1" x14ac:dyDescent="0.2">
      <c r="A28" s="43" t="s">
        <v>106</v>
      </c>
      <c r="B28" s="57">
        <v>4.4000000000000004</v>
      </c>
      <c r="C28" s="43" t="str">
        <f>VLOOKUP(B28,tblNational_water[[Code]:[Benchmark]],2,0)</f>
        <v xml:space="preserve">Staffing requirements for national (ministries, departments, national utilities, regulator) and decentralised  (districts, communities, service providers) bodies are clearly defined in both a quantitative (number of staff) and qualitative (profiles and skills including GESI) sense. These are adequate to fulfil all functions and all positions are filled. </v>
      </c>
      <c r="D28" s="41"/>
    </row>
    <row r="29" spans="1:4" ht="70.5" customHeight="1" x14ac:dyDescent="0.2">
      <c r="A29" s="43" t="s">
        <v>106</v>
      </c>
      <c r="B29" s="57">
        <v>4.5</v>
      </c>
      <c r="C29" s="43" t="str">
        <f>VLOOKUP(B29,tblNational_water[[Code]:[Benchmark]],2,0)</f>
        <v xml:space="preserve">There are adequate national institutions, platforms and mechanisms for capacity building related to all aspects (building blocks, including sanitation and hygiene promotion, construction of sanitation and hygiene facilities, financing, regulation etc) for all relevant water service delivery models (e.g. community managed handpumps, utility-managed piped schemes etc). National stakeholders have access to and make use of these for continuous capacity improvement. </v>
      </c>
      <c r="D29" s="41"/>
    </row>
    <row r="30" spans="1:4" ht="50" customHeight="1" x14ac:dyDescent="0.2">
      <c r="A30" s="43" t="s">
        <v>106</v>
      </c>
      <c r="B30" s="57">
        <v>4.5999999999999996</v>
      </c>
      <c r="C30" s="43" t="str">
        <f>VLOOKUP(B30,tblNational_water[[Code]:[Benchmark]],2,0)</f>
        <v>At least one third of the staffing of national bodies include women and/or people from marginalized communities/with disabilities. Women and people from marginalized communities are part of decision making positions/platforms.</v>
      </c>
      <c r="D30" s="41"/>
    </row>
    <row r="31" spans="1:4" ht="17" x14ac:dyDescent="0.2">
      <c r="A31" s="48" t="s">
        <v>135</v>
      </c>
      <c r="B31" s="56">
        <v>5</v>
      </c>
      <c r="C31" s="48" t="str">
        <f>VLOOKUP(B31,tblNational_water[[Code]:[Benchmark]],2,0)</f>
        <v>Overall Learning and adaptation</v>
      </c>
      <c r="D31" s="49"/>
    </row>
    <row r="32" spans="1:4" ht="50" customHeight="1" x14ac:dyDescent="0.2">
      <c r="A32" s="43" t="s">
        <v>135</v>
      </c>
      <c r="B32" s="57">
        <v>5.0999999999999996</v>
      </c>
      <c r="C32" s="43" t="str">
        <f>VLOOKUP(B32,tblNational_water[[Code]:[Benchmark]],2,0)</f>
        <v>There are institutionalised learning platforms and/or mechanisms at sector level (joint sector reviews, donor platforms, donor-government platforms, national learning alliance, thematic working groups, resource centres and sector web sites).</v>
      </c>
      <c r="D32" s="53"/>
    </row>
    <row r="33" spans="1:4" ht="50" customHeight="1" x14ac:dyDescent="0.2">
      <c r="A33" s="43" t="s">
        <v>135</v>
      </c>
      <c r="B33" s="57">
        <v>5.2</v>
      </c>
      <c r="C33" s="43" t="str">
        <f>VLOOKUP(B33,tblNational_water[[Code]:[Benchmark]],2,0)</f>
        <v>The national learning platforms are linked to the decentralized level.</v>
      </c>
      <c r="D33" s="41"/>
    </row>
    <row r="34" spans="1:4" ht="50" customHeight="1" x14ac:dyDescent="0.2">
      <c r="A34" s="43" t="s">
        <v>135</v>
      </c>
      <c r="B34" s="57">
        <v>5.3</v>
      </c>
      <c r="C34" s="43" t="str">
        <f>VLOOKUP(B34,tblNational_water[[Code]:[Benchmark]],2,0)</f>
        <v xml:space="preserve">The reflections from these platforms are documented and shared, and these are systematically taken up in policies, strategies, and practice. </v>
      </c>
      <c r="D34" s="41"/>
    </row>
    <row r="35" spans="1:4" ht="50" customHeight="1" x14ac:dyDescent="0.2">
      <c r="A35" s="43" t="s">
        <v>135</v>
      </c>
      <c r="B35" s="57">
        <v>5.4</v>
      </c>
      <c r="C35" s="43" t="str">
        <f>VLOOKUP(B35,tblNational_water[[Code]:[Benchmark]],2,0)</f>
        <v>The institutions working on water supply are actively discussing, learning, and strategizing about how to address issues of communities and people that are left behind to ensure water service delivery to all.</v>
      </c>
      <c r="D35" s="41"/>
    </row>
    <row r="36" spans="1:4" ht="50" customHeight="1" x14ac:dyDescent="0.2">
      <c r="A36" s="43" t="s">
        <v>135</v>
      </c>
      <c r="B36" s="57">
        <v>5.5</v>
      </c>
      <c r="C36" s="43" t="str">
        <f>VLOOKUP(B36,tblNational_water[[Code]:[Benchmark]],2,0)</f>
        <v>The platforms are sufficiently representative of the different sector stakeholders, including representatives of groups/organizations working on rights of women, people with disabilities and marginalized communities.</v>
      </c>
      <c r="D36" s="41"/>
    </row>
    <row r="37" spans="1:4" ht="50" customHeight="1" x14ac:dyDescent="0.2">
      <c r="A37" s="43" t="s">
        <v>135</v>
      </c>
      <c r="B37" s="57">
        <v>5.6</v>
      </c>
      <c r="C37" s="43" t="str">
        <f>VLOOKUP(B37,tblNational_water[[Code]:[Benchmark]],2,0)</f>
        <v>The institutions working on water supply are actively discussing, learning, and strategizing about how to integrate climate change risk reduction into water service delivery.</v>
      </c>
      <c r="D37" s="41"/>
    </row>
    <row r="38" spans="1:4" ht="50" hidden="1" customHeight="1" x14ac:dyDescent="0.2">
      <c r="A38" s="43" t="s">
        <v>135</v>
      </c>
      <c r="B38" s="57">
        <v>5.7</v>
      </c>
      <c r="C38" s="43" t="e">
        <f>VLOOKUP(B38,tblNational_water[[Code]:[Benchmark]],2,0)</f>
        <v>#N/A</v>
      </c>
      <c r="D38" s="41"/>
    </row>
    <row r="39" spans="1:4" ht="17" x14ac:dyDescent="0.2">
      <c r="A39" s="48" t="s">
        <v>110</v>
      </c>
      <c r="B39" s="56">
        <v>6</v>
      </c>
      <c r="C39" s="48" t="str">
        <f>VLOOKUP(B39,tblNational_water[[Code]:[Benchmark]],2,0)</f>
        <v>Overall Monitoring</v>
      </c>
      <c r="D39" s="54"/>
    </row>
    <row r="40" spans="1:4" ht="50" customHeight="1" x14ac:dyDescent="0.2">
      <c r="A40" s="43" t="s">
        <v>110</v>
      </c>
      <c r="B40" s="57">
        <v>6.1</v>
      </c>
      <c r="C40" s="43" t="str">
        <f>VLOOKUP(B40,tblNational_water[[Code]:[Benchmark]],2,0)</f>
        <v xml:space="preserve">There is a national monitoring framework (the different sectoral monitoring systems speak to each other, in particular to the National Bureau of Statistics). It covers service delivery in different contexts and links to (or is complemented by) the health and education monitoring information systems. </v>
      </c>
      <c r="D40" s="41"/>
    </row>
    <row r="41" spans="1:4" ht="50" customHeight="1" x14ac:dyDescent="0.2">
      <c r="A41" s="43" t="s">
        <v>110</v>
      </c>
      <c r="B41" s="57">
        <v>6.2</v>
      </c>
      <c r="C41" s="43" t="str">
        <f>VLOOKUP(B41,tblNational_water[[Code]:[Benchmark]],2,0)</f>
        <v>The data from the monitoring system are analysed and used at sector level, e.g. for macro-level planning, trends analysis, policy making.</v>
      </c>
      <c r="D41" s="41"/>
    </row>
    <row r="42" spans="1:4" ht="50" customHeight="1" x14ac:dyDescent="0.2">
      <c r="A42" s="43" t="s">
        <v>110</v>
      </c>
      <c r="B42" s="57">
        <v>6.3</v>
      </c>
      <c r="C42" s="43" t="str">
        <f>VLOOKUP(B42,tblNational_water[[Code]:[Benchmark]],2,0)</f>
        <v xml:space="preserve">The monitoring systems include both service delivery indicators (service level, service provider performance, service authority performance) and upstream systems strengthen (or sector performance) indicators. </v>
      </c>
      <c r="D42" s="41"/>
    </row>
    <row r="43" spans="1:4" ht="50" customHeight="1" x14ac:dyDescent="0.2">
      <c r="A43" s="43" t="s">
        <v>110</v>
      </c>
      <c r="B43" s="57">
        <v>6.4</v>
      </c>
      <c r="C43" s="43" t="str">
        <f>VLOOKUP(B43,tblNational_water[[Code]:[Benchmark]],2,0)</f>
        <v>The monitoring systems actively cover the entire country (all districts, all communities, all service providers).</v>
      </c>
      <c r="D43" s="41"/>
    </row>
    <row r="44" spans="1:4" ht="50" customHeight="1" x14ac:dyDescent="0.2">
      <c r="A44" s="43" t="s">
        <v>110</v>
      </c>
      <c r="B44" s="57">
        <v>6.5</v>
      </c>
      <c r="C44" s="43" t="str">
        <f>VLOOKUP(B44,tblNational_water[[Code]:[Benchmark]],2,0)</f>
        <v>The data in the national monitoring system are regularly updated.</v>
      </c>
      <c r="D44" s="41"/>
    </row>
    <row r="45" spans="1:4" ht="50" customHeight="1" x14ac:dyDescent="0.2">
      <c r="A45" s="43" t="s">
        <v>110</v>
      </c>
      <c r="B45" s="57">
        <v>6.6</v>
      </c>
      <c r="C45" s="43" t="str">
        <f>VLOOKUP(B45,tblNational_water[[Code]:[Benchmark]],2,0)</f>
        <v xml:space="preserve">The monitoring system captures disaggregated data, capturing households from marginalized communities, people with disabilities. </v>
      </c>
      <c r="D45" s="41"/>
    </row>
    <row r="46" spans="1:4" ht="50" customHeight="1" x14ac:dyDescent="0.2">
      <c r="A46" s="43" t="s">
        <v>110</v>
      </c>
      <c r="B46" s="57">
        <v>6.7</v>
      </c>
      <c r="C46" s="43" t="str">
        <f>VLOOKUP(B46,tblNational_water[[Code]:[Benchmark]],2,0)</f>
        <v xml:space="preserve">There is monitoring and documentation of priority climate hazards to water resources and water  infrastructure. There is a link between disaster reporting and climate adaptation planning. </v>
      </c>
      <c r="D46" s="41"/>
    </row>
    <row r="47" spans="1:4" ht="17" x14ac:dyDescent="0.2">
      <c r="A47" s="48" t="s">
        <v>112</v>
      </c>
      <c r="B47" s="56">
        <v>7</v>
      </c>
      <c r="C47" s="48" t="str">
        <f>VLOOKUP(B47,tblNational_water[[Code]:[Benchmark]],2,0)</f>
        <v>Overall Planning</v>
      </c>
      <c r="D47" s="54"/>
    </row>
    <row r="48" spans="1:4" ht="50" customHeight="1" x14ac:dyDescent="0.2">
      <c r="A48" s="43" t="s">
        <v>112</v>
      </c>
      <c r="B48" s="57">
        <v>7.1</v>
      </c>
      <c r="C48" s="43" t="str">
        <f>VLOOKUP(B48,tblNational_water[[Code]:[Benchmark]],2,0)</f>
        <v>National planning mechanisms exist and they are based on a vision for reaching the water service targets (national or SDG) and a realistic understanding of costs and budgets. These mechanisms support coordinated planning among sector stakeholders (gov't, utilities, donors, etc)</v>
      </c>
      <c r="D48" s="41"/>
    </row>
    <row r="49" spans="1:4" ht="50" customHeight="1" x14ac:dyDescent="0.2">
      <c r="A49" s="43" t="s">
        <v>112</v>
      </c>
      <c r="B49" s="57">
        <v>7.2</v>
      </c>
      <c r="C49" s="43" t="str">
        <f>VLOOKUP(B49,tblNational_water[[Code]:[Benchmark]],2,0)</f>
        <v>The national plans take into account in-country differences (geography; demography; water resources), recognizing the different SDMs.</v>
      </c>
      <c r="D49" s="41"/>
    </row>
    <row r="50" spans="1:4" ht="50" customHeight="1" x14ac:dyDescent="0.2">
      <c r="A50" s="43" t="s">
        <v>112</v>
      </c>
      <c r="B50" s="57">
        <v>7.3</v>
      </c>
      <c r="C50" s="43" t="str">
        <f>VLOOKUP(B50,tblNational_water[[Code]:[Benchmark]],2,0)</f>
        <v>The national plan reflects and takes into consideration the planning done at decentralised level and vice versa.</v>
      </c>
      <c r="D50" s="41"/>
    </row>
    <row r="51" spans="1:4" ht="50" customHeight="1" x14ac:dyDescent="0.2">
      <c r="A51" s="43" t="s">
        <v>112</v>
      </c>
      <c r="B51" s="57">
        <v>7.4</v>
      </c>
      <c r="C51" s="43" t="str">
        <f>VLOOKUP(B51,tblNational_water[[Code]:[Benchmark]],2,0)</f>
        <v xml:space="preserve">National plans and planning mechanisms include specification for gender-inclusion and/or reaching marginalised groups. </v>
      </c>
      <c r="D51" s="41"/>
    </row>
    <row r="52" spans="1:4" ht="50" customHeight="1" x14ac:dyDescent="0.2">
      <c r="A52" s="43" t="s">
        <v>112</v>
      </c>
      <c r="B52" s="57">
        <v>7.5</v>
      </c>
      <c r="C52" s="43" t="str">
        <f>VLOOKUP(B52,tblNational_water[[Code]:[Benchmark]],2,0)</f>
        <v>The plans incorporate an analysis of climate change risk and vulnerability.</v>
      </c>
      <c r="D52" s="41"/>
    </row>
    <row r="53" spans="1:4" ht="50" hidden="1" customHeight="1" x14ac:dyDescent="0.2">
      <c r="A53" s="43" t="s">
        <v>112</v>
      </c>
      <c r="B53" s="57">
        <v>7.6</v>
      </c>
      <c r="C53" s="43" t="e">
        <f>VLOOKUP(B53,tblNational_water[[Code]:[Benchmark]],2,0)</f>
        <v>#N/A</v>
      </c>
      <c r="D53" s="41"/>
    </row>
    <row r="54" spans="1:4" ht="17" x14ac:dyDescent="0.2">
      <c r="A54" s="48" t="s">
        <v>157</v>
      </c>
      <c r="B54" s="58">
        <v>8</v>
      </c>
      <c r="C54" s="48" t="str">
        <f>VLOOKUP(B54,tblNational_water[[Code]:[Benchmark]],2,0)</f>
        <v>Overall Policy and Legislation</v>
      </c>
      <c r="D54" s="54"/>
    </row>
    <row r="55" spans="1:4" ht="50" customHeight="1" x14ac:dyDescent="0.2">
      <c r="A55" s="43" t="s">
        <v>157</v>
      </c>
      <c r="B55" s="57">
        <v>8.1</v>
      </c>
      <c r="C55" s="43" t="str">
        <f>VLOOKUP(B55,tblNational_water[[Code]:[Benchmark]],2,0)</f>
        <v xml:space="preserve">A legal framework for the sector is in place. </v>
      </c>
      <c r="D55" s="41"/>
    </row>
    <row r="56" spans="1:4" ht="50" customHeight="1" x14ac:dyDescent="0.2">
      <c r="A56" s="43" t="s">
        <v>157</v>
      </c>
      <c r="B56" s="57">
        <v>8.1999999999999993</v>
      </c>
      <c r="C56" s="43" t="str">
        <f>VLOOKUP(B56,tblNational_water[[Code]:[Benchmark]],2,0)</f>
        <v>National guidelines for development and management of services are in place.</v>
      </c>
      <c r="D56" s="41"/>
    </row>
    <row r="57" spans="1:4" ht="50" customHeight="1" x14ac:dyDescent="0.2">
      <c r="A57" s="43" t="s">
        <v>157</v>
      </c>
      <c r="B57" s="57">
        <v>8.3000000000000007</v>
      </c>
      <c r="C57" s="43" t="str">
        <f>VLOOKUP(B57,tblNational_water[[Code]:[Benchmark]],2,0)</f>
        <v>National Sector Policy and Strategy is in place.</v>
      </c>
      <c r="D57" s="41"/>
    </row>
    <row r="58" spans="1:4" ht="50" customHeight="1" x14ac:dyDescent="0.2">
      <c r="A58" s="43" t="s">
        <v>157</v>
      </c>
      <c r="B58" s="57">
        <v>8.4</v>
      </c>
      <c r="C58" s="43" t="str">
        <f>VLOOKUP(B58,tblNational_water[[Code]:[Benchmark]],2,0)</f>
        <v>Norms and standards for quality of works and service delivery are in place.</v>
      </c>
      <c r="D58" s="41"/>
    </row>
    <row r="59" spans="1:4" ht="50" customHeight="1" x14ac:dyDescent="0.2">
      <c r="A59" s="43" t="s">
        <v>157</v>
      </c>
      <c r="B59" s="57">
        <v>8.5</v>
      </c>
      <c r="C59" s="43" t="str">
        <f>VLOOKUP(B59,tblNational_water[[Code]:[Benchmark]],2,0)</f>
        <v>The legislation and policies acknowledge those left behind (based on gender, disabilities, socially or economically marginalized, etc.) and have provisions to ensure everyone is covered with WASH services</v>
      </c>
      <c r="D59" s="41"/>
    </row>
    <row r="60" spans="1:4" ht="50" customHeight="1" x14ac:dyDescent="0.2">
      <c r="A60" s="43" t="s">
        <v>157</v>
      </c>
      <c r="B60" s="57">
        <v>8.6</v>
      </c>
      <c r="C60" s="43" t="str">
        <f>VLOOKUP(B60,tblNational_water[[Code]:[Benchmark]],2,0)</f>
        <v>There is a strategic framework in which environmental and climate change adaptation policies and strategies (including National Adaptation Plans (NAPs) and Nationally Determined Contributions (NDCs)) are aligned with those of WASH, and vice versa.</v>
      </c>
      <c r="D60" s="41"/>
    </row>
    <row r="61" spans="1:4" ht="50" hidden="1" customHeight="1" x14ac:dyDescent="0.2">
      <c r="A61" s="43" t="s">
        <v>157</v>
      </c>
      <c r="B61" s="57">
        <v>8.6999999999999993</v>
      </c>
      <c r="C61" s="43" t="e">
        <f>VLOOKUP(B61,tblNational_water[[Code]:[Benchmark]],2,0)</f>
        <v>#N/A</v>
      </c>
      <c r="D61" s="41"/>
    </row>
    <row r="62" spans="1:4" ht="17" x14ac:dyDescent="0.2">
      <c r="A62" s="48" t="s">
        <v>165</v>
      </c>
      <c r="B62" s="58">
        <v>9</v>
      </c>
      <c r="C62" s="48" t="str">
        <f>VLOOKUP(B62,tblNational_water[[Code]:[Benchmark]],2,0)</f>
        <v>Overall Regulation and accountability</v>
      </c>
      <c r="D62" s="54"/>
    </row>
    <row r="63" spans="1:4" ht="50" customHeight="1" x14ac:dyDescent="0.2">
      <c r="A63" s="43" t="s">
        <v>165</v>
      </c>
      <c r="B63" s="57">
        <v>9.1</v>
      </c>
      <c r="C63" s="43" t="str">
        <f>VLOOKUP(B63,tblNational_water[[Code]:[Benchmark]],2,0)</f>
        <v xml:space="preserve">The entity equipped with regulatory functions sets (1) tariff regulations and provide tariff calculation guidelines, (2) service performance regulation standards and guidelines (e.g. for NRW, operational cost recovery rate, continuity etc), (3) rules that protect consumers , (4) water quality regulation guidelines, (5) environmental regulation guidelines. </v>
      </c>
      <c r="D63" s="41"/>
    </row>
    <row r="64" spans="1:4" ht="50" customHeight="1" x14ac:dyDescent="0.2">
      <c r="A64" s="43" t="s">
        <v>165</v>
      </c>
      <c r="B64" s="57">
        <v>9.1999999999999993</v>
      </c>
      <c r="C64" s="43" t="str">
        <f>VLOOKUP(B64,tblNational_water[[Code]:[Benchmark]],2,0)</f>
        <v xml:space="preserve">There is a regulatory entity for the services or  regulatory functions delegated to sub-national institutions (e.g. through contracts). This may be an independent regulator or a dedicated function within the Ministry. </v>
      </c>
      <c r="D64" s="41"/>
    </row>
    <row r="65" spans="1:4" ht="50" customHeight="1" x14ac:dyDescent="0.2">
      <c r="A65" s="43" t="s">
        <v>165</v>
      </c>
      <c r="B65" s="57">
        <v>9.3000000000000007</v>
      </c>
      <c r="C65" s="43" t="str">
        <f>VLOOKUP(B65,tblNational_water[[Code]:[Benchmark]],2,0)</f>
        <v>The entity equipped with regulatory functions uses data (monitoring data, audits and score cards) to guide performance management and apply effective enforcement (incentives and penalties) in the five areas of regulation mentioned in the previous statement.</v>
      </c>
      <c r="D65" s="41"/>
    </row>
    <row r="66" spans="1:4" ht="50" customHeight="1" x14ac:dyDescent="0.2">
      <c r="A66" s="43" t="s">
        <v>165</v>
      </c>
      <c r="B66" s="57">
        <v>9.4</v>
      </c>
      <c r="C66" s="43" t="str">
        <f>VLOOKUP(B66,tblNational_water[[Code]:[Benchmark]],2,0)</f>
        <v>The regulator ensures that the service provider is providing services to all (including women headed households, people with disabilities).</v>
      </c>
      <c r="D66" s="41"/>
    </row>
    <row r="67" spans="1:4" ht="50" customHeight="1" x14ac:dyDescent="0.2">
      <c r="A67" s="43" t="s">
        <v>165</v>
      </c>
      <c r="B67" s="57">
        <v>9.5</v>
      </c>
      <c r="C67" s="43" t="str">
        <f>VLOOKUP(B67,tblNational_water[[Code]:[Benchmark]],2,0)</f>
        <v>There are governmental mechanisms to monitor progress towards climate change adaptation national targets, and there are publicly available commitments made at the international level that relate to water (e.g. NDCs; NAP).</v>
      </c>
      <c r="D67" s="41"/>
    </row>
    <row r="68" spans="1:4" ht="50" hidden="1" customHeight="1" x14ac:dyDescent="0.2">
      <c r="A68" s="43" t="s">
        <v>165</v>
      </c>
      <c r="B68" s="59">
        <v>9.6</v>
      </c>
      <c r="C68" s="43" t="e">
        <f>VLOOKUP(B68,tblNational_water[[Code]:[Benchmark]],2,0)</f>
        <v>#N/A</v>
      </c>
      <c r="D68" s="53"/>
    </row>
    <row r="69" spans="1:4" ht="17" x14ac:dyDescent="0.2">
      <c r="A69" s="48" t="s">
        <v>172</v>
      </c>
      <c r="B69" s="56">
        <v>10</v>
      </c>
      <c r="C69" s="48" t="str">
        <f>VLOOKUP(B69,tblNational_water[[Code]:[Benchmark]],2,0)</f>
        <v>Overall Water Resource management</v>
      </c>
      <c r="D69" s="49"/>
    </row>
    <row r="70" spans="1:4" ht="50" customHeight="1" x14ac:dyDescent="0.2">
      <c r="A70" s="43" t="s">
        <v>172</v>
      </c>
      <c r="B70" s="57">
        <v>10.1</v>
      </c>
      <c r="C70" s="43" t="str">
        <f>VLOOKUP(B70,tblNational_water[[Code]:[Benchmark]],2,0)</f>
        <v>There is legislation and/or policy in place that clearly defines priorities and processes relating to water resources allocation, regulation and water rights.</v>
      </c>
      <c r="D70" s="41"/>
    </row>
    <row r="71" spans="1:4" ht="50" customHeight="1" x14ac:dyDescent="0.2">
      <c r="A71" s="43" t="s">
        <v>172</v>
      </c>
      <c r="B71" s="57">
        <v>10.199999999999999</v>
      </c>
      <c r="C71" s="43" t="str">
        <f>VLOOKUP(B71,tblNational_water[[Code]:[Benchmark]],2,0)</f>
        <v>There are national water resource management institutions in place and able to undertake their mandated functions for water resource management as it pertains to potable water supply (catchment authorities and river basin authorities).</v>
      </c>
      <c r="D71" s="41"/>
    </row>
    <row r="72" spans="1:4" ht="50" customHeight="1" x14ac:dyDescent="0.2">
      <c r="A72" s="43" t="s">
        <v>172</v>
      </c>
      <c r="B72" s="57">
        <v>10.3</v>
      </c>
      <c r="C72" s="43" t="str">
        <f>VLOOKUP(B72,tblNational_water[[Code]:[Benchmark]],2,0)</f>
        <v>There is national guidance in place for mechanisms or platforms that allow representation of water service authorities and/or service providers in water resource management bodies.</v>
      </c>
      <c r="D72" s="41"/>
    </row>
    <row r="73" spans="1:4" ht="50" customHeight="1" x14ac:dyDescent="0.2">
      <c r="A73" s="43" t="s">
        <v>172</v>
      </c>
      <c r="B73" s="57">
        <v>10.4</v>
      </c>
      <c r="C73" s="43" t="str">
        <f>VLOOKUP(B73,tblNational_water[[Code]:[Benchmark]],2,0)</f>
        <v>There is national guidance on inclusion of relevant groups in these mechanisms or platforms, to ensure their needs are considered . For example women's groups, farmers, communities marginalized, people with disabilities who are dependent on water for domestic and livelihood purposes, etc.</v>
      </c>
      <c r="D73" s="41"/>
    </row>
    <row r="74" spans="1:4" ht="50" customHeight="1" x14ac:dyDescent="0.2">
      <c r="A74" s="43" t="s">
        <v>172</v>
      </c>
      <c r="B74" s="57">
        <v>10.5</v>
      </c>
      <c r="C74" s="43" t="str">
        <f>VLOOKUP(B74,tblNational_water[[Code]:[Benchmark]],2,0)</f>
        <v>Climate data and national projections have been used to conduct a risk assessment (with local actors leading the process) that considers different climate hazards, the level of exposure of infrastructure and population, as well as vulnerabilities of the water sector (e.g. vulnerability mapping) in relation to climate change, and to prioritise interventions.</v>
      </c>
      <c r="D74" s="41"/>
    </row>
  </sheetData>
  <sheetProtection algorithmName="SHA-512" hashValue="Te/TEuRUIYOX9afmxhAa7+8v2p2vzogFg+n+zKpGqrC6TxiihBSuUGPA7nhswHyKNJpzhQAvr75fXfIptg3Stg==" saltValue="JGhVTgKHCcyX531ryFhx6w==" spinCount="100000" sheet="1" objects="1" scenarios="1" formatCells="0" formatColumns="0" formatRows="0" autoFilter="0"/>
  <autoFilter ref="A2:D72" xr:uid="{00000000-0009-0000-0000-000009000000}"/>
  <pageMargins left="0.70866141732283472" right="0.70866141732283472" top="0.74803149606299213" bottom="0.74803149606299213" header="0.31496062992125984" footer="0.31496062992125984"/>
  <pageSetup paperSize="9" scale="52" fitToHeight="0" orientation="portrait" horizontalDpi="4294967293" r:id="rId1"/>
  <headerFooter>
    <oddFooter xml:space="preserve">&amp;L&amp;F&amp;C&amp;A&amp;RPage &amp;P of &amp;N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D74"/>
  <sheetViews>
    <sheetView showGridLines="0" workbookViewId="0">
      <selection activeCell="C85" sqref="C84:C85"/>
    </sheetView>
  </sheetViews>
  <sheetFormatPr baseColWidth="10" defaultColWidth="8.83203125" defaultRowHeight="16" x14ac:dyDescent="0.2"/>
  <cols>
    <col min="1" max="1" width="27.6640625" style="2" customWidth="1"/>
    <col min="2" max="2" width="8.6640625" style="60"/>
    <col min="3" max="3" width="102.1640625" style="2" customWidth="1"/>
    <col min="4" max="4" width="16.1640625" style="42" customWidth="1"/>
  </cols>
  <sheetData>
    <row r="1" spans="1:4" ht="20" x14ac:dyDescent="0.25">
      <c r="A1" s="45" t="s">
        <v>7</v>
      </c>
      <c r="B1" s="45" t="s">
        <v>55</v>
      </c>
    </row>
    <row r="2" spans="1:4" ht="17" x14ac:dyDescent="0.2">
      <c r="A2" s="44" t="s">
        <v>75</v>
      </c>
      <c r="B2" s="55" t="s">
        <v>76</v>
      </c>
      <c r="C2" s="44" t="s">
        <v>186</v>
      </c>
      <c r="D2" s="44" t="s">
        <v>325</v>
      </c>
    </row>
    <row r="3" spans="1:4" ht="50" customHeight="1" x14ac:dyDescent="0.2">
      <c r="A3" s="50" t="s">
        <v>179</v>
      </c>
      <c r="B3" s="59" t="s">
        <v>90</v>
      </c>
      <c r="C3" s="50" t="str">
        <f>VLOOKUP(B3,tblNational_S_H[[Code]:[Description]],2,0)</f>
        <v>Index Indicator climate: WASH services are able to be delivered to populations and adapt when needed, during and after experiences of climate-induced hazards; and in turn, enable resilience among populations to the effects of climate change.</v>
      </c>
      <c r="D3" s="50"/>
    </row>
    <row r="4" spans="1:4" ht="50" customHeight="1" x14ac:dyDescent="0.2">
      <c r="A4" s="50" t="s">
        <v>181</v>
      </c>
      <c r="B4" s="59" t="s">
        <v>94</v>
      </c>
      <c r="C4" s="50" t="str">
        <f>VLOOKUP(B4,tblNational_S_H[[Code]:[Description]],2,0)</f>
        <v>Index Indicator Capacity: The service authority (e.g. ministry), service providers, and regulator have capacity to plan and implement service system improvements based on data (indexed Index Indicator)</v>
      </c>
      <c r="D4" s="50"/>
    </row>
    <row r="5" spans="1:4" ht="50" customHeight="1" x14ac:dyDescent="0.2">
      <c r="A5" s="50" t="s">
        <v>183</v>
      </c>
      <c r="B5" s="59" t="s">
        <v>97</v>
      </c>
      <c r="C5" s="50" t="str">
        <f>VLOOKUP(B5,tblNational_S_H[[Code]:[Description]],2,0)</f>
        <v xml:space="preserve">Index Indicator GESI: The vulnerable households/groups /communities/people with disabilities are identified and acknowledged for support by government to ensure safe and sustainable services, and services are specifically adapted and sustainable extended to meet the needs of these populations. </v>
      </c>
      <c r="D5" s="50"/>
    </row>
    <row r="6" spans="1:4" ht="17" x14ac:dyDescent="0.2">
      <c r="A6" s="48" t="s">
        <v>87</v>
      </c>
      <c r="B6" s="56">
        <v>1</v>
      </c>
      <c r="C6" s="48" t="str">
        <f>VLOOKUP(B6,tblNational_S_H[[Code]:[Description]],2,0)</f>
        <v>Overall Finance</v>
      </c>
      <c r="D6" s="49"/>
    </row>
    <row r="7" spans="1:4" ht="60.5" customHeight="1" x14ac:dyDescent="0.2">
      <c r="A7" s="43" t="s">
        <v>87</v>
      </c>
      <c r="B7" s="57">
        <v>1.1000000000000001</v>
      </c>
      <c r="C7" s="50" t="str">
        <f>VLOOKUP(B7,tblNational_S_H[[Code]:[Description]],2,0)</f>
        <v>For each of the cost categories (capital expenditure (hardware and software, including CLTS triggering and other activities aimed towards stimulating procurement of sanitation and hygiene assets / facilities / products), capital maintenance, operational expenditure, direct support (including hygiene promotion activities, monitoring etc) and indirect support), the main sources of funding (and finance) and funding flows are defined.</v>
      </c>
      <c r="D7" s="41"/>
    </row>
    <row r="8" spans="1:4" ht="50" customHeight="1" x14ac:dyDescent="0.2">
      <c r="A8" s="43" t="s">
        <v>87</v>
      </c>
      <c r="B8" s="57">
        <v>1.2</v>
      </c>
      <c r="C8" s="43" t="str">
        <f>VLOOKUP(B8,tblNational_S_H[[Code]:[Description]],2,0)</f>
        <v>There is a comprehensive assessment of the finance gap</v>
      </c>
      <c r="D8" s="41"/>
    </row>
    <row r="9" spans="1:4" ht="81.5" customHeight="1" x14ac:dyDescent="0.2">
      <c r="A9" s="43" t="s">
        <v>87</v>
      </c>
      <c r="B9" s="57">
        <v>1.3</v>
      </c>
      <c r="C9" s="43" t="str">
        <f>VLOOKUP(B9,tblNational_S_H[[Code]:[Description]],2,0)</f>
        <v>There is a comprehensive national finance strategy, detailing the various strategies to reduce any funding gap.</v>
      </c>
      <c r="D9" s="41"/>
    </row>
    <row r="10" spans="1:4" ht="81" customHeight="1" x14ac:dyDescent="0.2">
      <c r="A10" s="43" t="s">
        <v>87</v>
      </c>
      <c r="B10" s="57">
        <v>1.4</v>
      </c>
      <c r="C10" s="43" t="str">
        <f>VLOOKUP(B10,tblNational_S_H[[Code]:[Description]],2,0)</f>
        <v xml:space="preserve">There are financial considerations and nationally defined mechanisms (like subsidies) for households from marginalized communities, including people with disabilities and gender-responsive, inclusive budgeting. Specific budgets are available to target these groups, and the effectiveness of these subsidies/mechanisms is regularly reviewed. (Please indicate which marginalised groups are covered in the notes/justification of scores (e.g. remote, rural, IDP/refugee, PWDs, older adults, women and girls instead)). </v>
      </c>
      <c r="D10" s="41"/>
    </row>
    <row r="11" spans="1:4" ht="62.75" customHeight="1" x14ac:dyDescent="0.2">
      <c r="A11" s="43" t="s">
        <v>87</v>
      </c>
      <c r="B11" s="57">
        <v>1.5</v>
      </c>
      <c r="C11" s="43" t="str">
        <f>VLOOKUP(B11,tblNational_S_H[[Code]:[Description]],2,0)</f>
        <v xml:space="preserve">There is a comprehensive assessment of the cost and funding gaps of climate adaptation in the sanitation and hygiene sector under different scenarios, e.g. considering prolonged droughts or more frequent floods. </v>
      </c>
      <c r="D11" s="41"/>
    </row>
    <row r="12" spans="1:4" ht="17" x14ac:dyDescent="0.2">
      <c r="A12" s="48" t="s">
        <v>102</v>
      </c>
      <c r="B12" s="56">
        <v>2</v>
      </c>
      <c r="C12" s="48" t="str">
        <f>VLOOKUP(B12,tblNational_S_H[[Code]:[Description]],2,0)</f>
        <v>Overall Infrastructure Development</v>
      </c>
      <c r="D12" s="49"/>
    </row>
    <row r="13" spans="1:4" ht="90" customHeight="1" x14ac:dyDescent="0.2">
      <c r="A13" s="43" t="s">
        <v>102</v>
      </c>
      <c r="B13" s="57">
        <v>2.1</v>
      </c>
      <c r="C13" s="43" t="str">
        <f>VLOOKUP(B13,tblNational_S_H[[Code]:[Description]],2,0)</f>
        <v>The project delivery models and procurement procedures for capital investments projects are clearly articulated in government-sanctioned implementation manuals. These include models and approaches for raising demand (e.g. triggering through CLTS approaches) and supply (e.g. through market-based approaches) for development of sanitation and handwashing facilities, as well as for faecal sludge management facilities. These are sufficiently differentiated for different segments of the population and articulated with the service delivery models.</v>
      </c>
      <c r="D13" s="41"/>
    </row>
    <row r="14" spans="1:4" ht="50" customHeight="1" x14ac:dyDescent="0.2">
      <c r="A14" s="43" t="s">
        <v>102</v>
      </c>
      <c r="B14" s="57">
        <v>2.2000000000000002</v>
      </c>
      <c r="C14" s="43" t="str">
        <f>VLOOKUP(B14,tblNational_S_H[[Code]:[Description]],2,0)</f>
        <v>There are mechanisms and capacity in place to ensure due diligence, regulation and control over procurement, and these mechanisms are being used in practice by national stakeholders.</v>
      </c>
      <c r="D14" s="53"/>
    </row>
    <row r="15" spans="1:4" ht="50" customHeight="1" x14ac:dyDescent="0.2">
      <c r="A15" s="43" t="s">
        <v>102</v>
      </c>
      <c r="B15" s="57">
        <v>2.2999999999999998</v>
      </c>
      <c r="C15" s="43" t="str">
        <f>VLOOKUP(B15,tblNational_S_H[[Code]:[Description]],2,0)</f>
        <v>The guidelines/manuals provide designs for handwashing facilities and toilets that can provide safely managed services suitable for women (including pregnant women and taking menstrual hygiene management into account), elderly, people with disabilities, adolescent girls and children.</v>
      </c>
      <c r="D15" s="41"/>
    </row>
    <row r="16" spans="1:4" ht="50" customHeight="1" x14ac:dyDescent="0.2">
      <c r="A16" s="43" t="s">
        <v>102</v>
      </c>
      <c r="B16" s="57">
        <v>2.4</v>
      </c>
      <c r="C16" s="43" t="str">
        <f>VLOOKUP(B16,tblNational_S_H[[Code]:[Description]],2,0)</f>
        <v>Sanitation service delivery infrastructure development are based on locally-led risk analysis that addresses climate change factors and these mechanisms minimise population exposure to potential failure arising from climatic hazards in different contexts.</v>
      </c>
      <c r="D16" s="41"/>
    </row>
    <row r="17" spans="1:4" ht="50" hidden="1" customHeight="1" x14ac:dyDescent="0.2">
      <c r="A17" s="43" t="s">
        <v>102</v>
      </c>
      <c r="B17" s="57">
        <v>2.5</v>
      </c>
      <c r="C17" s="43" t="e">
        <f>VLOOKUP(B17,tblNational_S_H[[Code]:[Description]],2,0)</f>
        <v>#N/A</v>
      </c>
      <c r="D17" s="41"/>
    </row>
    <row r="18" spans="1:4" ht="50" hidden="1" customHeight="1" x14ac:dyDescent="0.2">
      <c r="A18" s="43" t="s">
        <v>102</v>
      </c>
      <c r="B18" s="57">
        <v>2.6</v>
      </c>
      <c r="C18" s="43" t="e">
        <f>VLOOKUP(B18,tblNational_S_H[[Code]:[Description]],2,0)</f>
        <v>#N/A</v>
      </c>
      <c r="D18" s="41"/>
    </row>
    <row r="19" spans="1:4" ht="17" x14ac:dyDescent="0.2">
      <c r="A19" s="48" t="s">
        <v>115</v>
      </c>
      <c r="B19" s="56">
        <v>3</v>
      </c>
      <c r="C19" s="48" t="str">
        <f>VLOOKUP(B19,tblNational_S_H[[Code]:[Description]],2,0)</f>
        <v xml:space="preserve">Overall Infrastructure management </v>
      </c>
      <c r="D19" s="49"/>
    </row>
    <row r="20" spans="1:4" ht="50" customHeight="1" x14ac:dyDescent="0.2">
      <c r="A20" s="43" t="s">
        <v>115</v>
      </c>
      <c r="B20" s="57">
        <v>3.1</v>
      </c>
      <c r="C20" s="43" t="str">
        <f>VLOOKUP(B20,tblNational_S_H[[Code]:[Description]],2,0)</f>
        <v>A (state or national level) inventory exists of all (or most) FSM facilities and wastewater treatment facilities, including age and current physical state of assets, as well as key criteria of their accessibility for people with disabilities and older adults.</v>
      </c>
      <c r="D20" s="41"/>
    </row>
    <row r="21" spans="1:4" ht="50" customHeight="1" x14ac:dyDescent="0.2">
      <c r="A21" s="43" t="s">
        <v>115</v>
      </c>
      <c r="B21" s="57">
        <v>3.2</v>
      </c>
      <c r="C21" s="43" t="str">
        <f>VLOOKUP(B21,tblNational_S_H[[Code]:[Description]],2,0)</f>
        <v xml:space="preserve">Asset ownership is clearly defined in laws and regulation, particularly for facilities built using subsidies and for those installed by private sector on behalf of communities and households. </v>
      </c>
      <c r="D21" s="41"/>
    </row>
    <row r="22" spans="1:4" ht="50" customHeight="1" x14ac:dyDescent="0.2">
      <c r="A22" s="43" t="s">
        <v>115</v>
      </c>
      <c r="B22" s="57">
        <v>3.3</v>
      </c>
      <c r="C22" s="43" t="str">
        <f>VLOOKUP(B22,tblNational_S_H[[Code]:[Description]],2,0)</f>
        <v xml:space="preserve">Asset management , including for FSM assets, is operationalised through standard tools, guidelines and trainings. Households have a good understanding of the maintenance requirements and design life for sanitary facilities. </v>
      </c>
      <c r="D22" s="41"/>
    </row>
    <row r="23" spans="1:4" ht="50" hidden="1" customHeight="1" x14ac:dyDescent="0.2">
      <c r="A23" s="43" t="s">
        <v>115</v>
      </c>
      <c r="B23" s="57">
        <v>3.4</v>
      </c>
      <c r="C23" s="43" t="e">
        <f>VLOOKUP(B23,tblNational_S_H[[Code]:[Description]],2,0)</f>
        <v>#N/A</v>
      </c>
      <c r="D23" s="41"/>
    </row>
    <row r="24" spans="1:4" ht="17" x14ac:dyDescent="0.2">
      <c r="A24" s="48" t="s">
        <v>106</v>
      </c>
      <c r="B24" s="56">
        <v>4</v>
      </c>
      <c r="C24" s="48" t="str">
        <f>VLOOKUP(B24,tblNational_S_H[[Code]:[Description]],2,0)</f>
        <v>Overall Institutions building block</v>
      </c>
      <c r="D24" s="49"/>
    </row>
    <row r="25" spans="1:4" ht="50" customHeight="1" x14ac:dyDescent="0.2">
      <c r="A25" s="43" t="s">
        <v>106</v>
      </c>
      <c r="B25" s="57">
        <v>4.0999999999999996</v>
      </c>
      <c r="C25" s="43" t="str">
        <f>VLOOKUP(B25,tblNational_S_H[[Code]:[Description]],2,0)</f>
        <v xml:space="preserve">All key sanitation related functions (policy development, sanitation and hygiene promotion, FSM service delivery, regulation, monitoring and oversight, financing, water resources management, etc) are clearly assigned to specific institutions, without unfulfilled functions or unhelpful duplications (e.g. between Ministry of Health and Ministry of WASH). </v>
      </c>
      <c r="D25" s="53"/>
    </row>
    <row r="26" spans="1:4" ht="50" customHeight="1" x14ac:dyDescent="0.2">
      <c r="A26" s="43" t="s">
        <v>106</v>
      </c>
      <c r="B26" s="57">
        <v>4.2</v>
      </c>
      <c r="C26" s="43" t="str">
        <f>VLOOKUP(B26,tblNational_S_H[[Code]:[Description]],2,0)</f>
        <v>The assigned functions and mandates of the institutions are well-understood by the different stakeholders at both national and decentralised levels. This is includes institutional clarity for sanitation and hygiene in health care facilities, schools, public places, and households.</v>
      </c>
      <c r="D26" s="41"/>
    </row>
    <row r="27" spans="1:4" ht="50" customHeight="1" x14ac:dyDescent="0.2">
      <c r="A27" s="43" t="s">
        <v>106</v>
      </c>
      <c r="B27" s="57">
        <v>4.3</v>
      </c>
      <c r="C27" s="43" t="str">
        <f>VLOOKUP(B27,tblNational_S_H[[Code]:[Description]],2,0)</f>
        <v>Adequate and functional relationships and coordination mechanisms exist: 1) among national level sector-related institutions, 2) between national and decentralised institutions, 3) with institutions of related sectors such as health, education, gender and inclusion mainstreaming</v>
      </c>
      <c r="D27" s="41"/>
    </row>
    <row r="28" spans="1:4" ht="50" customHeight="1" x14ac:dyDescent="0.2">
      <c r="A28" s="43" t="s">
        <v>106</v>
      </c>
      <c r="B28" s="57">
        <v>4.4000000000000004</v>
      </c>
      <c r="C28" s="43" t="str">
        <f>VLOOKUP(B28,tblNational_S_H[[Code]:[Description]],2,0)</f>
        <v xml:space="preserve">Staffing requirements for national (ministries, departments, national utilities, regulator) and decentralised  (districts, communities, service providers) bodies are clearly defined in both a quantitative (number of staff) and qualitative (profiles and skills including GESI) sense. These are adequate to fulfil all functions and all positions are filled. </v>
      </c>
      <c r="D28" s="41"/>
    </row>
    <row r="29" spans="1:4" ht="65" customHeight="1" x14ac:dyDescent="0.2">
      <c r="A29" s="43" t="s">
        <v>106</v>
      </c>
      <c r="B29" s="57">
        <v>4.5</v>
      </c>
      <c r="C29" s="43" t="str">
        <f>VLOOKUP(B29,tblNational_S_H[[Code]:[Description]],2,0)</f>
        <v xml:space="preserve">There are adequate national institutions, platforms and mechanisms for capacity building related to all aspects  (e.g. market systems capacity, demand promotion, financing, regulation, etc) of all relevant sanitation and hygiene service delivery models (e.g. households managed latrines with onsite treatment, latrines with FSM, utility-or municipal-managed sewerage etc).  National  stakeholders have access to and make use of these for continuous capacity improvement. </v>
      </c>
      <c r="D29" s="41"/>
    </row>
    <row r="30" spans="1:4" ht="50" customHeight="1" x14ac:dyDescent="0.2">
      <c r="A30" s="43" t="s">
        <v>106</v>
      </c>
      <c r="B30" s="57">
        <v>4.5999999999999996</v>
      </c>
      <c r="C30" s="43" t="str">
        <f>VLOOKUP(B30,tblNational_S_H[[Code]:[Description]],2,0)</f>
        <v>At least one third of the staffing of national bodies include women and/or people from marginalized communities/with disabilities. Women and people from marginalized communities are part of decision making positions/platforms.</v>
      </c>
      <c r="D30" s="41"/>
    </row>
    <row r="31" spans="1:4" ht="17" x14ac:dyDescent="0.2">
      <c r="A31" s="48" t="s">
        <v>135</v>
      </c>
      <c r="B31" s="56">
        <v>5</v>
      </c>
      <c r="C31" s="48" t="str">
        <f>VLOOKUP(B31,tblNational_S_H[[Code]:[Description]],2,0)</f>
        <v>Overall Learning and adaptation</v>
      </c>
      <c r="D31" s="49"/>
    </row>
    <row r="32" spans="1:4" ht="50" customHeight="1" x14ac:dyDescent="0.2">
      <c r="A32" s="43" t="s">
        <v>135</v>
      </c>
      <c r="B32" s="57">
        <v>5.0999999999999996</v>
      </c>
      <c r="C32" s="43" t="str">
        <f>VLOOKUP(B32,tblNational_S_H[[Code]:[Description]],2,0)</f>
        <v>There are institutionalised learning platforms and/or mechanisms at sector level (joint sector reviews, donor platforms, donor-government platforms, national learning alliance, thematic working groups, resource centres and sector web sites).</v>
      </c>
      <c r="D32" s="53"/>
    </row>
    <row r="33" spans="1:4" ht="50" customHeight="1" x14ac:dyDescent="0.2">
      <c r="A33" s="43" t="s">
        <v>135</v>
      </c>
      <c r="B33" s="57">
        <v>5.2</v>
      </c>
      <c r="C33" s="43" t="str">
        <f>VLOOKUP(B33,tblNational_S_H[[Code]:[Description]],2,0)</f>
        <v>The national learning platforms are linked to the decentralized level.</v>
      </c>
      <c r="D33" s="41"/>
    </row>
    <row r="34" spans="1:4" ht="50" customHeight="1" x14ac:dyDescent="0.2">
      <c r="A34" s="43" t="s">
        <v>135</v>
      </c>
      <c r="B34" s="57">
        <v>5.3</v>
      </c>
      <c r="C34" s="43" t="str">
        <f>VLOOKUP(B34,tblNational_S_H[[Code]:[Description]],2,0)</f>
        <v xml:space="preserve">The reflections from these platforms are documented and shared, and these are systematically taken up in policies, strategies, and practice. </v>
      </c>
      <c r="D34" s="41"/>
    </row>
    <row r="35" spans="1:4" ht="50" customHeight="1" x14ac:dyDescent="0.2">
      <c r="A35" s="43" t="s">
        <v>135</v>
      </c>
      <c r="B35" s="57">
        <v>5.4</v>
      </c>
      <c r="C35" s="43" t="str">
        <f>VLOOKUP(B35,tblNational_S_H[[Code]:[Description]],2,0)</f>
        <v>The institutions working on sanitation and hygiene are actively discussing, learning, and strategizing about how to address issues of communities and people that are left behind to ensure sanitation and hygiene service delivery to all.</v>
      </c>
      <c r="D35" s="41"/>
    </row>
    <row r="36" spans="1:4" ht="50" customHeight="1" x14ac:dyDescent="0.2">
      <c r="A36" s="43" t="s">
        <v>135</v>
      </c>
      <c r="B36" s="57">
        <v>5.5</v>
      </c>
      <c r="C36" s="43" t="str">
        <f>VLOOKUP(B36,tblNational_S_H[[Code]:[Description]],2,0)</f>
        <v>The platforms are sufficiently representative of the different sector stakeholders, including representatives of groups/organizations working on rights of women, people with disabilities and marginalized communities.</v>
      </c>
      <c r="D36" s="41"/>
    </row>
    <row r="37" spans="1:4" ht="50" customHeight="1" x14ac:dyDescent="0.2">
      <c r="A37" s="43" t="s">
        <v>135</v>
      </c>
      <c r="B37" s="57">
        <v>5.6</v>
      </c>
      <c r="C37" s="43" t="str">
        <f>VLOOKUP(B37,tblNational_S_H[[Code]:[Description]],2,0)</f>
        <v>The institutions working on sanitation and hygiene are actively discussing, learning, and strategizing about how to integrate climate change risk reduction into sanitation and hygiene service delivery.</v>
      </c>
      <c r="D37" s="41"/>
    </row>
    <row r="38" spans="1:4" ht="50" hidden="1" customHeight="1" x14ac:dyDescent="0.2">
      <c r="A38" s="43" t="s">
        <v>135</v>
      </c>
      <c r="B38" s="57">
        <v>5.7</v>
      </c>
      <c r="C38" s="43" t="e">
        <f>VLOOKUP(B38,tblNational_S_H[[Code]:[Description]],2,0)</f>
        <v>#N/A</v>
      </c>
      <c r="D38" s="41"/>
    </row>
    <row r="39" spans="1:4" ht="17" x14ac:dyDescent="0.2">
      <c r="A39" s="48" t="s">
        <v>110</v>
      </c>
      <c r="B39" s="56">
        <v>6</v>
      </c>
      <c r="C39" s="48" t="str">
        <f>VLOOKUP(B39,tblNational_S_H[[Code]:[Description]],2,0)</f>
        <v>Overall Monitoring</v>
      </c>
      <c r="D39" s="54"/>
    </row>
    <row r="40" spans="1:4" ht="50" customHeight="1" x14ac:dyDescent="0.2">
      <c r="A40" s="43" t="s">
        <v>110</v>
      </c>
      <c r="B40" s="57">
        <v>6.1</v>
      </c>
      <c r="C40" s="43" t="str">
        <f>VLOOKUP(B40,tblNational_S_H[[Code]:[Description]],2,0)</f>
        <v xml:space="preserve">There is a national monitoring framework (the different sectoral monitoring systems speak to each other, in particular to the National Bureau of Statistics). It covers service delivery in different contexts and links to (or is complemented by) the health and education monitoring information systems. </v>
      </c>
      <c r="D40" s="41"/>
    </row>
    <row r="41" spans="1:4" ht="50" customHeight="1" x14ac:dyDescent="0.2">
      <c r="A41" s="43" t="s">
        <v>110</v>
      </c>
      <c r="B41" s="57">
        <v>6.2</v>
      </c>
      <c r="C41" s="43" t="str">
        <f>VLOOKUP(B41,tblNational_S_H[[Code]:[Description]],2,0)</f>
        <v>The data from the monitoring system are analysed and used at sector level, e.g. for macro-level planning, trends analysis, policy making.</v>
      </c>
      <c r="D41" s="41"/>
    </row>
    <row r="42" spans="1:4" ht="73.5" customHeight="1" x14ac:dyDescent="0.2">
      <c r="A42" s="43" t="s">
        <v>110</v>
      </c>
      <c r="B42" s="57">
        <v>6.3</v>
      </c>
      <c r="C42" s="43" t="str">
        <f>VLOOKUP(B42,tblNational_S_H[[Code]:[Description]],2,0)</f>
        <v xml:space="preserve">The monitoring systems include both sanitation and hygiene service delivery indicators (service level (including coverage of sanitation service levels, hygiene behaviour and practices, and ODF communities, where relevant), service provider performance (including on hygiene promotion activities, FSM, etc), service authority performance) and upstream systems strengthen (or sector performance) indicators. </v>
      </c>
      <c r="D42" s="41"/>
    </row>
    <row r="43" spans="1:4" ht="50" customHeight="1" x14ac:dyDescent="0.2">
      <c r="A43" s="43" t="s">
        <v>110</v>
      </c>
      <c r="B43" s="57">
        <v>6.4</v>
      </c>
      <c r="C43" s="43" t="str">
        <f>VLOOKUP(B43,tblNational_S_H[[Code]:[Description]],2,0)</f>
        <v>The monitoring systems actively cover the entire country (all districts, all communities, all service providers).</v>
      </c>
      <c r="D43" s="41"/>
    </row>
    <row r="44" spans="1:4" ht="50" customHeight="1" x14ac:dyDescent="0.2">
      <c r="A44" s="43" t="s">
        <v>110</v>
      </c>
      <c r="B44" s="57">
        <v>6.5</v>
      </c>
      <c r="C44" s="43" t="str">
        <f>VLOOKUP(B44,tblNational_S_H[[Code]:[Description]],2,0)</f>
        <v>The data in the national monitoring system are regularly updated.</v>
      </c>
      <c r="D44" s="41"/>
    </row>
    <row r="45" spans="1:4" ht="50" customHeight="1" x14ac:dyDescent="0.2">
      <c r="A45" s="43" t="s">
        <v>110</v>
      </c>
      <c r="B45" s="57">
        <v>6.6</v>
      </c>
      <c r="C45" s="43" t="str">
        <f>VLOOKUP(B45,tblNational_S_H[[Code]:[Description]],2,0)</f>
        <v xml:space="preserve">The monitoring system captures disaggregated data, capturing households from marginalized communities, people with disabilities. </v>
      </c>
      <c r="D45" s="41"/>
    </row>
    <row r="46" spans="1:4" ht="50" customHeight="1" x14ac:dyDescent="0.2">
      <c r="A46" s="43" t="s">
        <v>110</v>
      </c>
      <c r="B46" s="57">
        <v>6.7</v>
      </c>
      <c r="C46" s="43" t="str">
        <f>VLOOKUP(B46,tblNational_S_H[[Code]:[Description]],2,0)</f>
        <v xml:space="preserve">There is monitoring and documentation of priority climate hazards to sanitation and hygiene infrastructure and sanitation-related water resource issues. There is a link between disaster reporting and climate adaptation planning. </v>
      </c>
      <c r="D46" s="41"/>
    </row>
    <row r="47" spans="1:4" ht="17" x14ac:dyDescent="0.2">
      <c r="A47" s="48" t="s">
        <v>112</v>
      </c>
      <c r="B47" s="56">
        <v>7</v>
      </c>
      <c r="C47" s="48" t="str">
        <f>VLOOKUP(B47,tblNational_S_H[[Code]:[Description]],2,0)</f>
        <v>Overall Planning</v>
      </c>
      <c r="D47" s="54"/>
    </row>
    <row r="48" spans="1:4" ht="50" customHeight="1" x14ac:dyDescent="0.2">
      <c r="A48" s="43" t="s">
        <v>112</v>
      </c>
      <c r="B48" s="57">
        <v>7.1</v>
      </c>
      <c r="C48" s="43" t="str">
        <f>VLOOKUP(B48,tblNational_S_H[[Code]:[Description]],2,0)</f>
        <v>National planning mechanisms exist and they are based on a vision for reaching the sanitation and hygiene targets (national or SDG) and a realistic understanding of costs and budgets. These mechanisms support coordinated planning among sector stakeholders (gov't, utilities, donors, etc)</v>
      </c>
      <c r="D48" s="41"/>
    </row>
    <row r="49" spans="1:4" ht="50" customHeight="1" x14ac:dyDescent="0.2">
      <c r="A49" s="43" t="s">
        <v>112</v>
      </c>
      <c r="B49" s="57">
        <v>7.2</v>
      </c>
      <c r="C49" s="43" t="str">
        <f>VLOOKUP(B49,tblNational_S_H[[Code]:[Description]],2,0)</f>
        <v>The national plans take into account in-country differences (geography; demography; water resources), recognizing the different SDMs.</v>
      </c>
      <c r="D49" s="41"/>
    </row>
    <row r="50" spans="1:4" ht="50" customHeight="1" x14ac:dyDescent="0.2">
      <c r="A50" s="43" t="s">
        <v>112</v>
      </c>
      <c r="B50" s="57">
        <v>7.3</v>
      </c>
      <c r="C50" s="43" t="str">
        <f>VLOOKUP(B50,tblNational_S_H[[Code]:[Description]],2,0)</f>
        <v>The national plan reflects and takes into consideration the planning done at decentralised level and vice versa.</v>
      </c>
      <c r="D50" s="41"/>
    </row>
    <row r="51" spans="1:4" ht="50" customHeight="1" x14ac:dyDescent="0.2">
      <c r="A51" s="43" t="s">
        <v>112</v>
      </c>
      <c r="B51" s="57">
        <v>7.4</v>
      </c>
      <c r="C51" s="43" t="str">
        <f>VLOOKUP(B51,tblNational_S_H[[Code]:[Description]],2,0)</f>
        <v xml:space="preserve">National plans and planning mechanisms include specification for gender-inclusion, including menstrual hygiene management, and reaching marginalised groups. </v>
      </c>
      <c r="D51" s="41"/>
    </row>
    <row r="52" spans="1:4" ht="50" customHeight="1" x14ac:dyDescent="0.2">
      <c r="A52" s="43" t="s">
        <v>112</v>
      </c>
      <c r="B52" s="57">
        <v>7.5</v>
      </c>
      <c r="C52" s="43" t="str">
        <f>VLOOKUP(B52,tblNational_S_H[[Code]:[Description]],2,0)</f>
        <v>The plans incorporate an analysis of climate change risk and vulnerability.</v>
      </c>
      <c r="D52" s="41"/>
    </row>
    <row r="53" spans="1:4" ht="50" hidden="1" customHeight="1" x14ac:dyDescent="0.2">
      <c r="A53" s="43" t="s">
        <v>112</v>
      </c>
      <c r="B53" s="57">
        <v>7.6</v>
      </c>
      <c r="C53" s="43" t="e">
        <f>VLOOKUP(B53,tblNational_S_H[[Code]:[Description]],2,0)</f>
        <v>#N/A</v>
      </c>
      <c r="D53" s="41"/>
    </row>
    <row r="54" spans="1:4" ht="17" x14ac:dyDescent="0.2">
      <c r="A54" s="48" t="s">
        <v>157</v>
      </c>
      <c r="B54" s="58">
        <v>8</v>
      </c>
      <c r="C54" s="48" t="str">
        <f>VLOOKUP(B54,tblNational_S_H[[Code]:[Description]],2,0)</f>
        <v>Overall Policy and Legislation</v>
      </c>
      <c r="D54" s="54"/>
    </row>
    <row r="55" spans="1:4" ht="50" customHeight="1" x14ac:dyDescent="0.2">
      <c r="A55" s="43" t="s">
        <v>157</v>
      </c>
      <c r="B55" s="57">
        <v>8.1</v>
      </c>
      <c r="C55" s="43" t="str">
        <f>VLOOKUP(B55,tblNational_S_H[[Code]:[Description]],2,0)</f>
        <v xml:space="preserve">A legal framework for the sector is in place. </v>
      </c>
      <c r="D55" s="41"/>
    </row>
    <row r="56" spans="1:4" ht="50" customHeight="1" x14ac:dyDescent="0.2">
      <c r="A56" s="43" t="s">
        <v>157</v>
      </c>
      <c r="B56" s="57">
        <v>8.1999999999999993</v>
      </c>
      <c r="C56" s="43" t="str">
        <f>VLOOKUP(B56,tblNational_S_H[[Code]:[Description]],2,0)</f>
        <v>National guidelines for development and management of services are in place.</v>
      </c>
      <c r="D56" s="41"/>
    </row>
    <row r="57" spans="1:4" ht="50" customHeight="1" x14ac:dyDescent="0.2">
      <c r="A57" s="43" t="s">
        <v>157</v>
      </c>
      <c r="B57" s="57">
        <v>8.3000000000000007</v>
      </c>
      <c r="C57" s="43" t="str">
        <f>VLOOKUP(B57,tblNational_S_H[[Code]:[Description]],2,0)</f>
        <v>National Sector Policy and Strategy is in place.</v>
      </c>
      <c r="D57" s="41"/>
    </row>
    <row r="58" spans="1:4" ht="50" customHeight="1" x14ac:dyDescent="0.2">
      <c r="A58" s="43" t="s">
        <v>157</v>
      </c>
      <c r="B58" s="57">
        <v>8.4</v>
      </c>
      <c r="C58" s="43" t="str">
        <f>VLOOKUP(B58,tblNational_S_H[[Code]:[Description]],2,0)</f>
        <v>Norms and standards for quality of works and service delivery throughout the sanitation chain are in place.</v>
      </c>
      <c r="D58" s="41"/>
    </row>
    <row r="59" spans="1:4" ht="50" customHeight="1" x14ac:dyDescent="0.2">
      <c r="A59" s="43" t="s">
        <v>157</v>
      </c>
      <c r="B59" s="57">
        <v>8.5</v>
      </c>
      <c r="C59" s="43" t="str">
        <f>VLOOKUP(B59,tblNational_S_H[[Code]:[Description]],2,0)</f>
        <v>The legislation and policies acknowledge those left behind (based on gender, disabilities, socially or economically marginalized, etc.) and have provisions to ensure everyone is covered with WASH services</v>
      </c>
      <c r="D59" s="41"/>
    </row>
    <row r="60" spans="1:4" ht="50" customHeight="1" x14ac:dyDescent="0.2">
      <c r="A60" s="43" t="s">
        <v>157</v>
      </c>
      <c r="B60" s="57">
        <v>8.6</v>
      </c>
      <c r="C60" s="43" t="str">
        <f>VLOOKUP(B60,tblNational_S_H[[Code]:[Description]],2,0)</f>
        <v>There is a strategic framework in which environmental and climate change adaptation policies and strategies (including National Adaptation Plans (NAPs) and Nationally Determined Contributions (NDCs)) are aligned with those of WASH, and vice versa.</v>
      </c>
      <c r="D60" s="41"/>
    </row>
    <row r="61" spans="1:4" ht="50" hidden="1" customHeight="1" x14ac:dyDescent="0.2">
      <c r="A61" s="43" t="s">
        <v>157</v>
      </c>
      <c r="B61" s="57">
        <v>8.6999999999999993</v>
      </c>
      <c r="C61" s="43" t="e">
        <f>VLOOKUP(B61,tblNational_S_H[[Code]:[Description]],2,0)</f>
        <v>#N/A</v>
      </c>
      <c r="D61" s="41"/>
    </row>
    <row r="62" spans="1:4" ht="17" x14ac:dyDescent="0.2">
      <c r="A62" s="48" t="s">
        <v>165</v>
      </c>
      <c r="B62" s="58">
        <v>9</v>
      </c>
      <c r="C62" s="48" t="str">
        <f>VLOOKUP(B62,tblNational_S_H[[Code]:[Description]],2,0)</f>
        <v>Overall Regulation and accountability</v>
      </c>
      <c r="D62" s="54"/>
    </row>
    <row r="63" spans="1:4" ht="50" customHeight="1" x14ac:dyDescent="0.2">
      <c r="A63" s="43" t="s">
        <v>165</v>
      </c>
      <c r="B63" s="57">
        <v>9.1</v>
      </c>
      <c r="C63" s="43" t="str">
        <f>VLOOKUP(B63,tblNational_S_H[[Code]:[Description]],2,0)</f>
        <v xml:space="preserve">The entity equipped with regulatory functions sets (1) tariff regulations and provide tariff calculation guidelines (e.g. for public latrines and FSM services), (2) service performance regulation standards and guidelines (e.g. for latrine artisans, FSM service providers), (3) rules that protect consumers, (4) environmental regulation guidelines (related to open defecation, FS disposal, environmental pollution etc). </v>
      </c>
      <c r="D63" s="41"/>
    </row>
    <row r="64" spans="1:4" ht="50" customHeight="1" x14ac:dyDescent="0.2">
      <c r="A64" s="43" t="s">
        <v>165</v>
      </c>
      <c r="B64" s="57">
        <v>9.1999999999999993</v>
      </c>
      <c r="C64" s="43" t="str">
        <f>VLOOKUP(B64,tblNational_S_H[[Code]:[Description]],2,0)</f>
        <v xml:space="preserve">There is a regulatory entity for the services or  regulatory functions delegated to sub-national institutions (e.g. through contracts). This may be an independent regulator or a dedicated function within the Ministry. </v>
      </c>
      <c r="D64" s="41"/>
    </row>
    <row r="65" spans="1:4" ht="50" customHeight="1" x14ac:dyDescent="0.2">
      <c r="A65" s="43" t="s">
        <v>165</v>
      </c>
      <c r="B65" s="57">
        <v>9.3000000000000007</v>
      </c>
      <c r="C65" s="43" t="str">
        <f>VLOOKUP(B65,tblNational_S_H[[Code]:[Description]],2,0)</f>
        <v>The entity equipped with regulatory functions uses data (monitoring data, audits and score cards) to guide performance management and apply effective enforcement (incentives and penalties) in the four areas of regulation mentioned in the previous statement.</v>
      </c>
      <c r="D65" s="41"/>
    </row>
    <row r="66" spans="1:4" ht="50" customHeight="1" x14ac:dyDescent="0.2">
      <c r="A66" s="43" t="s">
        <v>165</v>
      </c>
      <c r="B66" s="57">
        <v>9.4</v>
      </c>
      <c r="C66" s="43" t="str">
        <f>VLOOKUP(B66,tblNational_S_H[[Code]:[Description]],2,0)</f>
        <v>The regulator ensures that  service providers provide services to all (including women headed households, people with disabilities).</v>
      </c>
      <c r="D66" s="41"/>
    </row>
    <row r="67" spans="1:4" ht="50" customHeight="1" x14ac:dyDescent="0.2">
      <c r="A67" s="43" t="s">
        <v>165</v>
      </c>
      <c r="B67" s="57">
        <v>9.5</v>
      </c>
      <c r="C67" s="43" t="str">
        <f>VLOOKUP(B67,tblNational_S_H[[Code]:[Description]],2,0)</f>
        <v>There are governmental mechanisms to monitor progress towards climate change adaptation national targets, and there are publicly available commitments made at the international level that relate sanitation (e.g. NDCs; NAP).</v>
      </c>
      <c r="D67" s="41"/>
    </row>
    <row r="68" spans="1:4" ht="50" hidden="1" customHeight="1" x14ac:dyDescent="0.2">
      <c r="A68" s="43" t="s">
        <v>165</v>
      </c>
      <c r="B68" s="59">
        <v>9.6</v>
      </c>
      <c r="C68" s="43" t="e">
        <f>VLOOKUP(B68,tblNational_S_H[[Code]:[Description]],2,0)</f>
        <v>#N/A</v>
      </c>
      <c r="D68" s="53"/>
    </row>
    <row r="69" spans="1:4" ht="17" x14ac:dyDescent="0.2">
      <c r="A69" s="48" t="s">
        <v>172</v>
      </c>
      <c r="B69" s="56">
        <v>10</v>
      </c>
      <c r="C69" s="48" t="str">
        <f>VLOOKUP(B69,tblNational_S_H[[Code]:[Description]],2,0)</f>
        <v>Overall Water Resource management</v>
      </c>
      <c r="D69" s="49"/>
    </row>
    <row r="70" spans="1:4" ht="50" customHeight="1" x14ac:dyDescent="0.2">
      <c r="A70" s="43" t="s">
        <v>172</v>
      </c>
      <c r="B70" s="57">
        <v>10.1</v>
      </c>
      <c r="C70" s="43" t="str">
        <f>VLOOKUP(B70,tblNational_S_H[[Code]:[Description]],2,0)</f>
        <v>There is legislation and/or policy in place that clearly defines priorities and processes relating to water resources and effluent water quality management and regulation.</v>
      </c>
      <c r="D70" s="41"/>
    </row>
    <row r="71" spans="1:4" ht="50" customHeight="1" x14ac:dyDescent="0.2">
      <c r="A71" s="43" t="s">
        <v>172</v>
      </c>
      <c r="B71" s="57">
        <v>10.199999999999999</v>
      </c>
      <c r="C71" s="43" t="str">
        <f>VLOOKUP(B71,tblNational_S_H[[Code]:[Description]],2,0)</f>
        <v>There are national water resource management institutions in place and able to undertake their mandated functions for water resource management as it pertains to sanitation (catchment authorities and river basin authorities).</v>
      </c>
      <c r="D71" s="41"/>
    </row>
    <row r="72" spans="1:4" ht="50" customHeight="1" x14ac:dyDescent="0.2">
      <c r="A72" s="43" t="s">
        <v>172</v>
      </c>
      <c r="B72" s="57">
        <v>10.3</v>
      </c>
      <c r="C72" s="43" t="str">
        <f>VLOOKUP(B72,tblNational_S_H[[Code]:[Description]],2,0)</f>
        <v>There is national guidance in place for mechanisms or platforms that allow representation of sanitation service authorities and/or service providers  in water resource management bodies.</v>
      </c>
      <c r="D72" s="41"/>
    </row>
    <row r="73" spans="1:4" ht="50" customHeight="1" x14ac:dyDescent="0.2">
      <c r="A73" s="43" t="s">
        <v>172</v>
      </c>
      <c r="B73" s="57">
        <v>10.4</v>
      </c>
      <c r="C73" s="43" t="str">
        <f>VLOOKUP(B73,tblNational_S_H[[Code]:[Description]],2,0)</f>
        <v>There is national guidance on inclusion of relevant groups in these mechanisms or platforms, to ensure their needs are considered . For example women's groups, farmers, communities marginalized, people with disabilities who are dependent on water for domestic and livelihood purposes, etc.</v>
      </c>
      <c r="D73" s="41"/>
    </row>
    <row r="74" spans="1:4" ht="69" customHeight="1" x14ac:dyDescent="0.2">
      <c r="A74" s="43" t="s">
        <v>172</v>
      </c>
      <c r="B74" s="57">
        <v>10.5</v>
      </c>
      <c r="C74" s="43" t="str">
        <f>VLOOKUP(B74,tblNational_S_H[[Code]:[Description]],2,0)</f>
        <v>Climate data and national (and local) projections have been used to conduct a risk assessment (with local actors leading the process) that considers different climate hazards, the level of exposure of infrastructure and population, as well as vulnerabilities of the sanitation sector (e.g. vulnerability mapping) in relation to climate change, and to prioritise interventions.</v>
      </c>
      <c r="D74" s="41"/>
    </row>
  </sheetData>
  <sheetProtection algorithmName="SHA-512" hashValue="85wZ2M3uzJN5wrdAZl1s0nWLTUJxecVtpw+1Rl8XopvfrKkFqr4aNJctmmeOzXWnxqU0lqfwJc6p5CCNT7AtFw==" saltValue="G+auoztSUSwmcRUkSTUmgA==" spinCount="100000" sheet="1" objects="1" scenarios="1" formatCells="0" formatColumns="0" formatRows="0" autoFilter="0"/>
  <autoFilter ref="A2:D72" xr:uid="{00000000-0009-0000-0000-00000A000000}"/>
  <pageMargins left="0.70866141732283472" right="0.70866141732283472" top="0.74803149606299213" bottom="0.74803149606299213" header="0.31496062992125984" footer="0.31496062992125984"/>
  <pageSetup paperSize="9" scale="51" fitToHeight="0" orientation="portrait" r:id="rId1"/>
  <headerFooter>
    <oddFooter xml:space="preserve">&amp;L&amp;F&amp;C&amp;A&amp;RPage &amp;P of &amp;N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74"/>
  <sheetViews>
    <sheetView showGridLines="0" topLeftCell="A64" workbookViewId="0">
      <selection activeCell="C85" sqref="C84:C85"/>
    </sheetView>
  </sheetViews>
  <sheetFormatPr baseColWidth="10" defaultColWidth="8.83203125" defaultRowHeight="16" x14ac:dyDescent="0.2"/>
  <cols>
    <col min="1" max="1" width="27.6640625" style="2" customWidth="1"/>
    <col min="2" max="2" width="8.6640625" style="60"/>
    <col min="3" max="3" width="102.1640625" style="2" customWidth="1"/>
    <col min="4" max="4" width="16.1640625" style="42" customWidth="1"/>
  </cols>
  <sheetData>
    <row r="1" spans="1:4" ht="20" x14ac:dyDescent="0.25">
      <c r="A1" s="45" t="s">
        <v>7</v>
      </c>
      <c r="B1" s="45" t="s">
        <v>318</v>
      </c>
    </row>
    <row r="2" spans="1:4" ht="17" x14ac:dyDescent="0.2">
      <c r="A2" s="44" t="s">
        <v>75</v>
      </c>
      <c r="B2" s="55" t="s">
        <v>76</v>
      </c>
      <c r="C2" s="44" t="s">
        <v>186</v>
      </c>
      <c r="D2" s="44" t="s">
        <v>325</v>
      </c>
    </row>
    <row r="3" spans="1:4" ht="50" customHeight="1" x14ac:dyDescent="0.2">
      <c r="A3" s="50" t="s">
        <v>179</v>
      </c>
      <c r="B3" s="59" t="s">
        <v>90</v>
      </c>
      <c r="C3" s="50" t="str">
        <f>VLOOKUP(B3,tblNational_HCF[[Code]:[Description]],2,0)</f>
        <v>Index Indicator climate: WASH services are able to be delivered to populations and adapt when needed, during and after experiences of climate-induced hazards; and in turn, enable resilience among populations to the effects of climate change.</v>
      </c>
      <c r="D3" s="50"/>
    </row>
    <row r="4" spans="1:4" ht="50" customHeight="1" x14ac:dyDescent="0.2">
      <c r="A4" s="50" t="s">
        <v>181</v>
      </c>
      <c r="B4" s="59" t="s">
        <v>94</v>
      </c>
      <c r="C4" s="50" t="str">
        <f>VLOOKUP(B4,tblNational_HCF[[Code]:[Description]],2,0)</f>
        <v>Index Indicator Capacity: The service authority (e.g. ministry), service providers, and regulator have capacity to plan and implement service system improvements based on data (indexed Index Indicator)</v>
      </c>
      <c r="D4" s="50"/>
    </row>
    <row r="5" spans="1:4" ht="50" customHeight="1" x14ac:dyDescent="0.2">
      <c r="A5" s="50" t="s">
        <v>183</v>
      </c>
      <c r="B5" s="59" t="s">
        <v>97</v>
      </c>
      <c r="C5" s="50" t="str">
        <f>VLOOKUP(B5,tblNational_HCF[[Code]:[Description]],2,0)</f>
        <v xml:space="preserve">Index Indicator GESI: The vulnerable households/groups /communities/people with disabilities are identified and acknowledged for support by government to ensure safe and sustainable services, and services are specifically adapted and sustainable extended to meet the needs of these populations. </v>
      </c>
      <c r="D5" s="50"/>
    </row>
    <row r="6" spans="1:4" ht="17" x14ac:dyDescent="0.2">
      <c r="A6" s="48" t="s">
        <v>87</v>
      </c>
      <c r="B6" s="56">
        <v>1</v>
      </c>
      <c r="C6" s="48" t="str">
        <f>VLOOKUP(B6,tblNational_HCF[[Code]:[Description]],2,0)</f>
        <v>Overall Finance</v>
      </c>
      <c r="D6" s="49"/>
    </row>
    <row r="7" spans="1:4" ht="50" customHeight="1" x14ac:dyDescent="0.2">
      <c r="A7" s="43" t="s">
        <v>87</v>
      </c>
      <c r="B7" s="57">
        <v>1.1000000000000001</v>
      </c>
      <c r="C7" s="43" t="str">
        <f>VLOOKUP(B7,tblNational_HCF[[Code]:[Description]],2,0)</f>
        <v>For each of the cost categories (capital expenditure, capital maintenance, operational expenditure, direct support and indirect support), the main sources of funding (and finance) and funding flows are defined.</v>
      </c>
      <c r="D7" s="41"/>
    </row>
    <row r="8" spans="1:4" ht="50" customHeight="1" x14ac:dyDescent="0.2">
      <c r="A8" s="43" t="s">
        <v>87</v>
      </c>
      <c r="B8" s="57">
        <v>1.2</v>
      </c>
      <c r="C8" s="43" t="str">
        <f>VLOOKUP(B8,tblNational_HCF[[Code]:[Description]],2,0)</f>
        <v>There is a comprehensive assessment of the finance gap</v>
      </c>
      <c r="D8" s="41"/>
    </row>
    <row r="9" spans="1:4" ht="62.75" customHeight="1" x14ac:dyDescent="0.2">
      <c r="A9" s="43" t="s">
        <v>87</v>
      </c>
      <c r="B9" s="57">
        <v>1.3</v>
      </c>
      <c r="C9" s="43" t="str">
        <f>VLOOKUP(B9,tblNational_HCF[[Code]:[Description]],2,0)</f>
        <v xml:space="preserve">There is a comprehensive national finance strategy, detailing the various strategies to reduce any funding gap, either fully incorporated into the health sector budget and finance strategy, or in the WASH sector budget and finance strategy. </v>
      </c>
      <c r="D9" s="41"/>
    </row>
    <row r="10" spans="1:4" ht="50" hidden="1" customHeight="1" x14ac:dyDescent="0.2">
      <c r="A10" s="43" t="s">
        <v>87</v>
      </c>
      <c r="B10" s="57">
        <v>1.4</v>
      </c>
      <c r="C10" s="43" t="e">
        <f>VLOOKUP(B10,tblNational_HCF[[Code]:[Description]],2,0)</f>
        <v>#N/A</v>
      </c>
      <c r="D10" s="41"/>
    </row>
    <row r="11" spans="1:4" ht="62.75" hidden="1" customHeight="1" x14ac:dyDescent="0.2">
      <c r="A11" s="43" t="s">
        <v>87</v>
      </c>
      <c r="B11" s="57">
        <v>1.5</v>
      </c>
      <c r="C11" s="43" t="e">
        <f>VLOOKUP(B11,tblNational_HCF[[Code]:[Description]],2,0)</f>
        <v>#N/A</v>
      </c>
      <c r="D11" s="41"/>
    </row>
    <row r="12" spans="1:4" ht="17" x14ac:dyDescent="0.2">
      <c r="A12" s="48" t="s">
        <v>102</v>
      </c>
      <c r="B12" s="56">
        <v>2</v>
      </c>
      <c r="C12" s="48" t="str">
        <f>VLOOKUP(B12,tblNational_HCF[[Code]:[Description]],2,0)</f>
        <v>Overall Infrastructure Development</v>
      </c>
      <c r="D12" s="49"/>
    </row>
    <row r="13" spans="1:4" ht="50" customHeight="1" x14ac:dyDescent="0.2">
      <c r="A13" s="43" t="s">
        <v>102</v>
      </c>
      <c r="B13" s="57">
        <v>2.1</v>
      </c>
      <c r="C13" s="43" t="str">
        <f>VLOOKUP(B13,tblNational_HCF[[Code]:[Description]],2,0)</f>
        <v>The project delivery models and procurement procedures for capital investments projects are clearly articulated in government-sanctioned implementation manuals. These are sufficiently differentiated for different types of HCFs.</v>
      </c>
      <c r="D13" s="41"/>
    </row>
    <row r="14" spans="1:4" ht="50" customHeight="1" x14ac:dyDescent="0.2">
      <c r="A14" s="43" t="s">
        <v>102</v>
      </c>
      <c r="B14" s="57">
        <v>2.2000000000000002</v>
      </c>
      <c r="C14" s="43" t="str">
        <f>VLOOKUP(B14,tblNational_HCF[[Code]:[Description]],2,0)</f>
        <v>There are mechanisms and capacity in place to ensure due diligence, regulation and control over procurement, and these mechanisms are being used in practice by national stakeholders.</v>
      </c>
      <c r="D14" s="53"/>
    </row>
    <row r="15" spans="1:4" ht="50" customHeight="1" x14ac:dyDescent="0.2">
      <c r="A15" s="43" t="s">
        <v>102</v>
      </c>
      <c r="B15" s="57">
        <v>2.2999999999999998</v>
      </c>
      <c r="C15" s="43" t="str">
        <f>VLOOKUP(B15,tblNational_HCF[[Code]:[Description]],2,0)</f>
        <v>The guidelines/manuals provide designs suitable for women (including pregnant women), elderly, people with disabilities, adolescent girls and children and in-patients with specific needs.</v>
      </c>
      <c r="D15" s="41"/>
    </row>
    <row r="16" spans="1:4" ht="50" customHeight="1" x14ac:dyDescent="0.2">
      <c r="A16" s="43" t="s">
        <v>102</v>
      </c>
      <c r="B16" s="57">
        <v>2.4</v>
      </c>
      <c r="C16" s="43" t="str">
        <f>VLOOKUP(B16,tblNational_HCF[[Code]:[Description]],2,0)</f>
        <v>Water, sanitation and hygiene service delivery infrastructure development are based on locally-led risk analysis that addresses climate change factors and these mechanisms minimise population exposure to potential failure arising from climatic hazards in different contexts.</v>
      </c>
      <c r="D16" s="41"/>
    </row>
    <row r="17" spans="1:4" ht="50" hidden="1" customHeight="1" x14ac:dyDescent="0.2">
      <c r="A17" s="43" t="s">
        <v>102</v>
      </c>
      <c r="B17" s="57">
        <v>2.5</v>
      </c>
      <c r="C17" s="43" t="e">
        <f>VLOOKUP(B17,tblNational_HCF[[Code]:[Description]],2,0)</f>
        <v>#N/A</v>
      </c>
      <c r="D17" s="41"/>
    </row>
    <row r="18" spans="1:4" ht="50" hidden="1" customHeight="1" x14ac:dyDescent="0.2">
      <c r="A18" s="43" t="s">
        <v>102</v>
      </c>
      <c r="B18" s="57">
        <v>2.6</v>
      </c>
      <c r="C18" s="43" t="e">
        <f>VLOOKUP(B18,tblNational_HCF[[Code]:[Description]],2,0)</f>
        <v>#N/A</v>
      </c>
      <c r="D18" s="41"/>
    </row>
    <row r="19" spans="1:4" ht="17" x14ac:dyDescent="0.2">
      <c r="A19" s="48" t="s">
        <v>115</v>
      </c>
      <c r="B19" s="56">
        <v>3</v>
      </c>
      <c r="C19" s="48" t="str">
        <f>VLOOKUP(B19,tblNational_HCF[[Code]:[Description]],2,0)</f>
        <v xml:space="preserve">Overall Infrastructure management </v>
      </c>
      <c r="D19" s="49"/>
    </row>
    <row r="20" spans="1:4" ht="50" customHeight="1" x14ac:dyDescent="0.2">
      <c r="A20" s="43" t="s">
        <v>115</v>
      </c>
      <c r="B20" s="57">
        <v>3.1</v>
      </c>
      <c r="C20" s="43" t="str">
        <f>VLOOKUP(B20,tblNational_HCF[[Code]:[Description]],2,0)</f>
        <v xml:space="preserve">Asset ownership of HCF WASH assets is clearly defined in laws and regulation. Roles and responsibilities related to O&amp;M and asset management of HCF WASH assets (e.g. between Ministry of Health and WASH-related ministry/ies) have been clearly defined. </v>
      </c>
      <c r="D20" s="41"/>
    </row>
    <row r="21" spans="1:4" ht="50" customHeight="1" x14ac:dyDescent="0.2">
      <c r="A21" s="43" t="s">
        <v>115</v>
      </c>
      <c r="B21" s="57">
        <v>3.2</v>
      </c>
      <c r="C21" s="43" t="str">
        <f>VLOOKUP(B21,tblNational_HCF[[Code]:[Description]],2,0)</f>
        <v xml:space="preserve">A up-to-date inventory (state or national level) exists of all (or most) HCF WASH assets, including age and current physical state of assets. The entity(ies) responsible for asset management have access to the asset data. </v>
      </c>
      <c r="D21" s="41"/>
    </row>
    <row r="22" spans="1:4" ht="50" customHeight="1" x14ac:dyDescent="0.2">
      <c r="A22" s="43" t="s">
        <v>115</v>
      </c>
      <c r="B22" s="57">
        <v>3.3</v>
      </c>
      <c r="C22" s="43" t="str">
        <f>VLOOKUP(B22,tblNational_HCF[[Code]:[Description]],2,0)</f>
        <v>Asset management is operationalised through standard tools, guidelines and trainings.</v>
      </c>
      <c r="D22" s="41"/>
    </row>
    <row r="23" spans="1:4" ht="50" hidden="1" customHeight="1" x14ac:dyDescent="0.2">
      <c r="A23" s="43" t="s">
        <v>115</v>
      </c>
      <c r="B23" s="57">
        <v>3.4</v>
      </c>
      <c r="C23" s="43" t="e">
        <f>VLOOKUP(B23,tblNational_HCF[[Code]:[Description]],2,0)</f>
        <v>#N/A</v>
      </c>
      <c r="D23" s="41"/>
    </row>
    <row r="24" spans="1:4" ht="17" x14ac:dyDescent="0.2">
      <c r="A24" s="48" t="s">
        <v>106</v>
      </c>
      <c r="B24" s="56">
        <v>4</v>
      </c>
      <c r="C24" s="48" t="str">
        <f>VLOOKUP(B24,tblNational_HCF[[Code]:[Description]],2,0)</f>
        <v>Overall Institutions building block</v>
      </c>
      <c r="D24" s="49"/>
    </row>
    <row r="25" spans="1:4" ht="50" customHeight="1" x14ac:dyDescent="0.2">
      <c r="A25" s="43" t="s">
        <v>106</v>
      </c>
      <c r="B25" s="57">
        <v>4.0999999999999996</v>
      </c>
      <c r="C25" s="43" t="str">
        <f>VLOOKUP(B25,tblNational_HCF[[Code]:[Description]],2,0)</f>
        <v xml:space="preserve">All key HCF WASH related functions (policy development, infrastructure development, service delivery, service authority, regulation, monitoring and oversight, financing, water resources management, etc) are clearly assigned to specific institutions, without unfulfilled functions or unhelpful duplications. </v>
      </c>
      <c r="D25" s="53"/>
    </row>
    <row r="26" spans="1:4" ht="50" customHeight="1" x14ac:dyDescent="0.2">
      <c r="A26" s="43" t="s">
        <v>106</v>
      </c>
      <c r="B26" s="57">
        <v>4.2</v>
      </c>
      <c r="C26" s="43" t="str">
        <f>VLOOKUP(B26,tblNational_HCF[[Code]:[Description]],2,0)</f>
        <v xml:space="preserve">The assigned functions and mandates of the institutions are well-understood by the different stakeholders at both national and decentralised levels. </v>
      </c>
      <c r="D26" s="41"/>
    </row>
    <row r="27" spans="1:4" ht="50" customHeight="1" x14ac:dyDescent="0.2">
      <c r="A27" s="43" t="s">
        <v>106</v>
      </c>
      <c r="B27" s="57">
        <v>4.3</v>
      </c>
      <c r="C27" s="43" t="str">
        <f>VLOOKUP(B27,tblNational_HCF[[Code]:[Description]],2,0)</f>
        <v>Adequate and functional relationships and coordination mechanisms exist: 1) among national level sector-related institutions, 2) between national and decentralised institutions, 3) with water and sanitation service providers and authorities,  4) with health providers, health managers and infection, prevention and control divisions of HCFs</v>
      </c>
      <c r="D27" s="41"/>
    </row>
    <row r="28" spans="1:4" ht="50" customHeight="1" x14ac:dyDescent="0.2">
      <c r="A28" s="43" t="s">
        <v>106</v>
      </c>
      <c r="B28" s="57">
        <v>4.4000000000000004</v>
      </c>
      <c r="C28" s="43" t="str">
        <f>VLOOKUP(B28,tblNational_HCF[[Code]:[Description]],2,0)</f>
        <v xml:space="preserve">Staffing requirements for national (ministries, departments) and decentralised  (districts, communities, HCF staff involved in WASH) bodies are clearly defined in both a quantitative (number of staff) and qualitative (profiles and skills including GESI) sense. These are adequate to fulfil all functions and all positions are filled. </v>
      </c>
      <c r="D28" s="41"/>
    </row>
    <row r="29" spans="1:4" ht="70.5" customHeight="1" x14ac:dyDescent="0.2">
      <c r="A29" s="43" t="s">
        <v>106</v>
      </c>
      <c r="B29" s="57">
        <v>4.5</v>
      </c>
      <c r="C29" s="43" t="str">
        <f>VLOOKUP(B29,tblNational_HCF[[Code]:[Description]],2,0)</f>
        <v xml:space="preserve">There are adequate national institutions, platforms and mechanisms for capacity building related to all aspects (building blocks, including sanitation and hygiene promotion, construction of water,  sanitation and hygiene facilities, financing, regulation etc) for HCF WASH. National HCF WASH stakeholders have access to and make use of these for continuous capacity improvement. </v>
      </c>
      <c r="D29" s="41"/>
    </row>
    <row r="30" spans="1:4" ht="50" customHeight="1" x14ac:dyDescent="0.2">
      <c r="A30" s="43" t="s">
        <v>106</v>
      </c>
      <c r="B30" s="57">
        <v>4.5999999999999996</v>
      </c>
      <c r="C30" s="43" t="str">
        <f>VLOOKUP(B30,tblNational_HCF[[Code]:[Description]],2,0)</f>
        <v>At least one third of the staffing of national bodies include women and/or people from marginalized communities/with disabilities. Women and people from marginalized communities are part of decision making positions/platforms.</v>
      </c>
      <c r="D30" s="41"/>
    </row>
    <row r="31" spans="1:4" ht="17" x14ac:dyDescent="0.2">
      <c r="A31" s="48" t="s">
        <v>135</v>
      </c>
      <c r="B31" s="56">
        <v>5</v>
      </c>
      <c r="C31" s="48" t="str">
        <f>VLOOKUP(B31,tblNational_HCF[[Code]:[Description]],2,0)</f>
        <v>Overall Learning and adaptation</v>
      </c>
      <c r="D31" s="49"/>
    </row>
    <row r="32" spans="1:4" ht="50" customHeight="1" x14ac:dyDescent="0.2">
      <c r="A32" s="43" t="s">
        <v>135</v>
      </c>
      <c r="B32" s="57">
        <v>5.0999999999999996</v>
      </c>
      <c r="C32" s="43" t="str">
        <f>VLOOKUP(B32,tblNational_HCF[[Code]:[Description]],2,0)</f>
        <v>There are institutionalised learning platforms and/or mechanisms at sector level which include HCF WASH (joint sector reviews, donor platforms, donor-government platforms, national learning alliance, thematic working groups, resource centres and sector web sites).</v>
      </c>
      <c r="D32" s="53"/>
    </row>
    <row r="33" spans="1:4" ht="50" customHeight="1" x14ac:dyDescent="0.2">
      <c r="A33" s="43" t="s">
        <v>135</v>
      </c>
      <c r="B33" s="57">
        <v>5.2</v>
      </c>
      <c r="C33" s="43" t="str">
        <f>VLOOKUP(B33,tblNational_HCF[[Code]:[Description]],2,0)</f>
        <v>The national learning platforms are linked to the decentralized level.</v>
      </c>
      <c r="D33" s="41"/>
    </row>
    <row r="34" spans="1:4" ht="50" customHeight="1" x14ac:dyDescent="0.2">
      <c r="A34" s="43" t="s">
        <v>135</v>
      </c>
      <c r="B34" s="57">
        <v>5.3</v>
      </c>
      <c r="C34" s="43" t="str">
        <f>VLOOKUP(B34,tblNational_HCF[[Code]:[Description]],2,0)</f>
        <v xml:space="preserve">The reflections from these platforms are documented and shared, and these are systematically taken up in policies, strategies, and practice. </v>
      </c>
      <c r="D34" s="41"/>
    </row>
    <row r="35" spans="1:4" ht="50" customHeight="1" x14ac:dyDescent="0.2">
      <c r="A35" s="43" t="s">
        <v>135</v>
      </c>
      <c r="B35" s="57">
        <v>5.4</v>
      </c>
      <c r="C35" s="43" t="str">
        <f>VLOOKUP(B35,tblNational_HCF[[Code]:[Description]],2,0)</f>
        <v>The institutions working on HCF WASH are actively discussing, learning, and strategizing about how to address issues people that are left behind to ensure HCF WASH service delivery to all.</v>
      </c>
      <c r="D35" s="41"/>
    </row>
    <row r="36" spans="1:4" ht="50" customHeight="1" x14ac:dyDescent="0.2">
      <c r="A36" s="43" t="s">
        <v>135</v>
      </c>
      <c r="B36" s="57">
        <v>5.5</v>
      </c>
      <c r="C36" s="43" t="str">
        <f>VLOOKUP(B36,tblNational_HCF[[Code]:[Description]],2,0)</f>
        <v>The platforms are sufficiently representative of the different sector stakeholders, including representatives of groups/organizations working on rights of women, people with disabilities and marginalized communities.</v>
      </c>
      <c r="D36" s="41"/>
    </row>
    <row r="37" spans="1:4" ht="50" customHeight="1" x14ac:dyDescent="0.2">
      <c r="A37" s="43" t="s">
        <v>135</v>
      </c>
      <c r="B37" s="57">
        <v>5.6</v>
      </c>
      <c r="C37" s="43" t="str">
        <f>VLOOKUP(B37,tblNational_HCF[[Code]:[Description]],2,0)</f>
        <v>The institutions working on HCF WASH are actively discussing, learning, and strategizing about how to integrate climate change risk reduction into water, sanitation and hygiene service delivery.</v>
      </c>
      <c r="D37" s="41"/>
    </row>
    <row r="38" spans="1:4" ht="50" hidden="1" customHeight="1" x14ac:dyDescent="0.2">
      <c r="A38" s="43" t="s">
        <v>135</v>
      </c>
      <c r="B38" s="57">
        <v>5.7</v>
      </c>
      <c r="C38" s="43" t="e">
        <f>VLOOKUP(B38,tblNational_HCF[[Code]:[Description]],2,0)</f>
        <v>#N/A</v>
      </c>
      <c r="D38" s="41"/>
    </row>
    <row r="39" spans="1:4" ht="17" x14ac:dyDescent="0.2">
      <c r="A39" s="48" t="s">
        <v>110</v>
      </c>
      <c r="B39" s="56">
        <v>6</v>
      </c>
      <c r="C39" s="48" t="str">
        <f>VLOOKUP(B39,tblNational_HCF[[Code]:[Description]],2,0)</f>
        <v>Overall Monitoring</v>
      </c>
      <c r="D39" s="54"/>
    </row>
    <row r="40" spans="1:4" ht="50" customHeight="1" x14ac:dyDescent="0.2">
      <c r="A40" s="43" t="s">
        <v>110</v>
      </c>
      <c r="B40" s="57">
        <v>6.1</v>
      </c>
      <c r="C40" s="43" t="str">
        <f>VLOOKUP(B40,tblNational_HCF[[Code]:[Description]],2,0)</f>
        <v xml:space="preserve">There is a national monitoring framework for WASH in HCF. It covers service delivery in different contexts and is part of, links to, or is complemented by the water and sanitation monitoring information systems and health monitoring system. </v>
      </c>
      <c r="D40" s="41"/>
    </row>
    <row r="41" spans="1:4" ht="50" customHeight="1" x14ac:dyDescent="0.2">
      <c r="A41" s="43" t="s">
        <v>110</v>
      </c>
      <c r="B41" s="57">
        <v>6.2</v>
      </c>
      <c r="C41" s="43" t="str">
        <f>VLOOKUP(B41,tblNational_HCF[[Code]:[Description]],2,0)</f>
        <v>The data from the monitoring system are analysed and used at sector level, e.g. for macro-level planning, trends analysis, policy making.</v>
      </c>
      <c r="D41" s="41"/>
    </row>
    <row r="42" spans="1:4" ht="50" customHeight="1" x14ac:dyDescent="0.2">
      <c r="A42" s="43" t="s">
        <v>110</v>
      </c>
      <c r="B42" s="57">
        <v>6.3</v>
      </c>
      <c r="C42" s="43" t="str">
        <f>VLOOKUP(B42,tblNational_HCF[[Code]:[Description]],2,0)</f>
        <v xml:space="preserve">The monitoring systems include indicators related to the different components as per JMP definitions for basic water, sanitation, hygiene, solid waste management, environmental management (see https://washdata.org/monitoring/health-care-facilities). </v>
      </c>
      <c r="D42" s="41"/>
    </row>
    <row r="43" spans="1:4" ht="50" customHeight="1" x14ac:dyDescent="0.2">
      <c r="A43" s="43" t="s">
        <v>110</v>
      </c>
      <c r="B43" s="57">
        <v>6.4</v>
      </c>
      <c r="C43" s="43" t="str">
        <f>VLOOKUP(B43,tblNational_HCF[[Code]:[Description]],2,0)</f>
        <v>The monitoring systems actively cover the entire country (all HCFs).</v>
      </c>
      <c r="D43" s="41"/>
    </row>
    <row r="44" spans="1:4" ht="50" customHeight="1" x14ac:dyDescent="0.2">
      <c r="A44" s="43" t="s">
        <v>110</v>
      </c>
      <c r="B44" s="57">
        <v>6.5</v>
      </c>
      <c r="C44" s="43" t="str">
        <f>VLOOKUP(B44,tblNational_HCF[[Code]:[Description]],2,0)</f>
        <v>The data in the national monitoring system are regularly updated.</v>
      </c>
      <c r="D44" s="41"/>
    </row>
    <row r="45" spans="1:4" ht="50" customHeight="1" x14ac:dyDescent="0.2">
      <c r="A45" s="43" t="s">
        <v>110</v>
      </c>
      <c r="B45" s="57">
        <v>6.6</v>
      </c>
      <c r="C45" s="43" t="str">
        <f>VLOOKUP(B45,tblNational_HCF[[Code]:[Description]],2,0)</f>
        <v xml:space="preserve">There is monitoring and documentation of priority climate hazards to HCF WASH infrastructure. There is a link between disaster reporting and climate adaptation planning. </v>
      </c>
      <c r="D45" s="41"/>
    </row>
    <row r="46" spans="1:4" ht="50" hidden="1" customHeight="1" x14ac:dyDescent="0.2">
      <c r="A46" s="43" t="s">
        <v>110</v>
      </c>
      <c r="B46" s="57">
        <v>6.7</v>
      </c>
      <c r="C46" s="43" t="e">
        <f>VLOOKUP(B46,tblNational_HCF[[Code]:[Description]],2,0)</f>
        <v>#N/A</v>
      </c>
      <c r="D46" s="41"/>
    </row>
    <row r="47" spans="1:4" ht="17" x14ac:dyDescent="0.2">
      <c r="A47" s="48" t="s">
        <v>112</v>
      </c>
      <c r="B47" s="56">
        <v>7</v>
      </c>
      <c r="C47" s="48" t="str">
        <f>VLOOKUP(B47,tblNational_HCF[[Code]:[Description]],2,0)</f>
        <v>Overall Planning</v>
      </c>
      <c r="D47" s="54"/>
    </row>
    <row r="48" spans="1:4" ht="50" customHeight="1" x14ac:dyDescent="0.2">
      <c r="A48" s="43" t="s">
        <v>112</v>
      </c>
      <c r="B48" s="57">
        <v>7.1</v>
      </c>
      <c r="C48" s="43" t="str">
        <f>VLOOKUP(B48,tblNational_HCF[[Code]:[Description]],2,0)</f>
        <v>National planning mechanisms exist and they are based on a vision for reaching the HCF WASH targets (national or SDG) and a realistic understanding of costs and budgets. These mechanisms support coordinated planning among sector stakeholders (gov't, utilities, donors, etc)</v>
      </c>
      <c r="D48" s="41"/>
    </row>
    <row r="49" spans="1:4" ht="50" customHeight="1" x14ac:dyDescent="0.2">
      <c r="A49" s="43" t="s">
        <v>112</v>
      </c>
      <c r="B49" s="57">
        <v>7.2</v>
      </c>
      <c r="C49" s="43" t="str">
        <f>VLOOKUP(B49,tblNational_HCF[[Code]:[Description]],2,0)</f>
        <v>The national plans take into account different types of HCFs</v>
      </c>
      <c r="D49" s="41"/>
    </row>
    <row r="50" spans="1:4" ht="50" customHeight="1" x14ac:dyDescent="0.2">
      <c r="A50" s="43" t="s">
        <v>112</v>
      </c>
      <c r="B50" s="57">
        <v>7.3</v>
      </c>
      <c r="C50" s="43" t="str">
        <f>VLOOKUP(B50,tblNational_HCF[[Code]:[Description]],2,0)</f>
        <v>The national plan reflects and takes into consideration the planning done at decentralised level and vice versa.</v>
      </c>
      <c r="D50" s="41"/>
    </row>
    <row r="51" spans="1:4" ht="50" customHeight="1" x14ac:dyDescent="0.2">
      <c r="A51" s="43" t="s">
        <v>112</v>
      </c>
      <c r="B51" s="57">
        <v>7.4</v>
      </c>
      <c r="C51" s="43" t="str">
        <f>VLOOKUP(B51,tblNational_HCF[[Code]:[Description]],2,0)</f>
        <v xml:space="preserve">National plans and planning mechanisms include specification for WASH facilities suitable for women (including MHM), people with disability and in-patients with specific needs. </v>
      </c>
      <c r="D51" s="41"/>
    </row>
    <row r="52" spans="1:4" ht="50" customHeight="1" x14ac:dyDescent="0.2">
      <c r="A52" s="43" t="s">
        <v>112</v>
      </c>
      <c r="B52" s="57">
        <v>7.5</v>
      </c>
      <c r="C52" s="43" t="str">
        <f>VLOOKUP(B52,tblNational_HCF[[Code]:[Description]],2,0)</f>
        <v>The plans incorporate an analysis of climate change risk and vulnerability.</v>
      </c>
      <c r="D52" s="41"/>
    </row>
    <row r="53" spans="1:4" ht="50" hidden="1" customHeight="1" x14ac:dyDescent="0.2">
      <c r="A53" s="43" t="s">
        <v>112</v>
      </c>
      <c r="B53" s="57">
        <v>7.6</v>
      </c>
      <c r="C53" s="43" t="e">
        <f>VLOOKUP(B53,tblNational_HCF[[Code]:[Description]],2,0)</f>
        <v>#N/A</v>
      </c>
      <c r="D53" s="41"/>
    </row>
    <row r="54" spans="1:4" ht="17" x14ac:dyDescent="0.2">
      <c r="A54" s="48" t="s">
        <v>157</v>
      </c>
      <c r="B54" s="58">
        <v>8</v>
      </c>
      <c r="C54" s="48" t="str">
        <f>VLOOKUP(B54,tblNational_HCF[[Code]:[Description]],2,0)</f>
        <v>Overall Policy and Legislation</v>
      </c>
      <c r="D54" s="54"/>
    </row>
    <row r="55" spans="1:4" ht="50" customHeight="1" x14ac:dyDescent="0.2">
      <c r="A55" s="43" t="s">
        <v>157</v>
      </c>
      <c r="B55" s="57">
        <v>8.1</v>
      </c>
      <c r="C55" s="43" t="str">
        <f>VLOOKUP(B55,tblNational_HCF[[Code]:[Description]],2,0)</f>
        <v xml:space="preserve">A legal framework for HCF WASH is in place. </v>
      </c>
      <c r="D55" s="41"/>
    </row>
    <row r="56" spans="1:4" ht="50" customHeight="1" x14ac:dyDescent="0.2">
      <c r="A56" s="43" t="s">
        <v>157</v>
      </c>
      <c r="B56" s="57">
        <v>8.1999999999999993</v>
      </c>
      <c r="C56" s="43" t="str">
        <f>VLOOKUP(B56,tblNational_HCF[[Code]:[Description]],2,0)</f>
        <v>National guidelines for development and management of HCF WASH services are in place.</v>
      </c>
      <c r="D56" s="41"/>
    </row>
    <row r="57" spans="1:4" ht="50" customHeight="1" x14ac:dyDescent="0.2">
      <c r="A57" s="43" t="s">
        <v>157</v>
      </c>
      <c r="B57" s="57">
        <v>8.3000000000000007</v>
      </c>
      <c r="C57" s="43" t="str">
        <f>VLOOKUP(B57,tblNational_HCF[[Code]:[Description]],2,0)</f>
        <v>National WASH in HCFs Policy and Strategy is in place.</v>
      </c>
      <c r="D57" s="41"/>
    </row>
    <row r="58" spans="1:4" ht="50" customHeight="1" x14ac:dyDescent="0.2">
      <c r="A58" s="43" t="s">
        <v>157</v>
      </c>
      <c r="B58" s="57">
        <v>8.4</v>
      </c>
      <c r="C58" s="43" t="str">
        <f>VLOOKUP(B58,tblNational_HCF[[Code]:[Description]],2,0)</f>
        <v>Norms and standards for quality of works are in place.</v>
      </c>
      <c r="D58" s="41"/>
    </row>
    <row r="59" spans="1:4" ht="50" hidden="1" customHeight="1" x14ac:dyDescent="0.2">
      <c r="A59" s="43" t="s">
        <v>157</v>
      </c>
      <c r="B59" s="57">
        <v>8.5</v>
      </c>
      <c r="C59" s="43" t="e">
        <f>VLOOKUP(B59,tblNational_HCF[[Code]:[Description]],2,0)</f>
        <v>#N/A</v>
      </c>
      <c r="D59" s="41"/>
    </row>
    <row r="60" spans="1:4" ht="50" hidden="1" customHeight="1" x14ac:dyDescent="0.2">
      <c r="A60" s="43" t="s">
        <v>157</v>
      </c>
      <c r="B60" s="57">
        <v>8.6</v>
      </c>
      <c r="C60" s="43" t="e">
        <f>VLOOKUP(B60,tblNational_HCF[[Code]:[Description]],2,0)</f>
        <v>#N/A</v>
      </c>
      <c r="D60" s="41"/>
    </row>
    <row r="61" spans="1:4" ht="50" hidden="1" customHeight="1" x14ac:dyDescent="0.2">
      <c r="A61" s="43" t="s">
        <v>157</v>
      </c>
      <c r="B61" s="57">
        <v>8.6999999999999993</v>
      </c>
      <c r="C61" s="43" t="e">
        <f>VLOOKUP(B61,tblNational_HCF[[Code]:[Description]],2,0)</f>
        <v>#N/A</v>
      </c>
      <c r="D61" s="41"/>
    </row>
    <row r="62" spans="1:4" ht="17" x14ac:dyDescent="0.2">
      <c r="A62" s="48" t="s">
        <v>165</v>
      </c>
      <c r="B62" s="58">
        <v>9</v>
      </c>
      <c r="C62" s="48" t="str">
        <f>VLOOKUP(B62,tblNational_HCF[[Code]:[Description]],2,0)</f>
        <v>Overall Regulation and accountability</v>
      </c>
      <c r="D62" s="54"/>
    </row>
    <row r="63" spans="1:4" ht="50" customHeight="1" x14ac:dyDescent="0.2">
      <c r="A63" s="43" t="s">
        <v>165</v>
      </c>
      <c r="B63" s="57">
        <v>9.1</v>
      </c>
      <c r="C63" s="43" t="str">
        <f>VLOOKUP(B63,tblNational_HCF[[Code]:[Description]],2,0)</f>
        <v>There is an entity responsible for monitoring and regulating that HCFs provide adequate WASH services in line with national standards and guidelines.</v>
      </c>
      <c r="D63" s="41"/>
    </row>
    <row r="64" spans="1:4" ht="50" customHeight="1" x14ac:dyDescent="0.2">
      <c r="A64" s="43" t="s">
        <v>165</v>
      </c>
      <c r="B64" s="57">
        <v>9.1999999999999993</v>
      </c>
      <c r="C64" s="43" t="str">
        <f>VLOOKUP(B64,tblNational_HCF[[Code]:[Description]],2,0)</f>
        <v xml:space="preserve">There is a regulatory entity for HCF WASH services or regulatory functions delegated to sub-national institutions (e.g. through contracts). </v>
      </c>
      <c r="D64" s="41"/>
    </row>
    <row r="65" spans="1:4" ht="50" customHeight="1" x14ac:dyDescent="0.2">
      <c r="A65" s="43" t="s">
        <v>165</v>
      </c>
      <c r="B65" s="57">
        <v>9.3000000000000007</v>
      </c>
      <c r="C65" s="43" t="str">
        <f>VLOOKUP(B65,tblNational_HCF[[Code]:[Description]],2,0)</f>
        <v>The entity equipped with regulatory functions uses data (monitoring data, audits and score cards) to guide regulation.</v>
      </c>
      <c r="D65" s="41"/>
    </row>
    <row r="66" spans="1:4" ht="50" hidden="1" customHeight="1" x14ac:dyDescent="0.2">
      <c r="A66" s="43" t="s">
        <v>165</v>
      </c>
      <c r="B66" s="57">
        <v>9.4</v>
      </c>
      <c r="C66" s="43" t="e">
        <f>VLOOKUP(B66,tblNational_HCF[[Code]:[Description]],2,0)</f>
        <v>#N/A</v>
      </c>
      <c r="D66" s="41"/>
    </row>
    <row r="67" spans="1:4" ht="50" hidden="1" customHeight="1" x14ac:dyDescent="0.2">
      <c r="A67" s="43" t="s">
        <v>165</v>
      </c>
      <c r="B67" s="57">
        <v>9.5</v>
      </c>
      <c r="C67" s="43" t="e">
        <f>VLOOKUP(B67,tblNational_HCF[[Code]:[Description]],2,0)</f>
        <v>#N/A</v>
      </c>
      <c r="D67" s="41"/>
    </row>
    <row r="68" spans="1:4" ht="50" hidden="1" customHeight="1" x14ac:dyDescent="0.2">
      <c r="A68" s="43" t="s">
        <v>165</v>
      </c>
      <c r="B68" s="59">
        <v>9.6</v>
      </c>
      <c r="C68" s="43" t="e">
        <f>VLOOKUP(B68,tblNational_HCF[[Code]:[Description]],2,0)</f>
        <v>#N/A</v>
      </c>
      <c r="D68" s="53"/>
    </row>
    <row r="69" spans="1:4" ht="17" x14ac:dyDescent="0.2">
      <c r="A69" s="48" t="s">
        <v>172</v>
      </c>
      <c r="B69" s="56">
        <v>10</v>
      </c>
      <c r="C69" s="48" t="str">
        <f>VLOOKUP(B69,tblNational_HCF[[Code]:[Description]],2,0)</f>
        <v>Overall Water Resource management</v>
      </c>
      <c r="D69" s="49"/>
    </row>
    <row r="70" spans="1:4" ht="50" customHeight="1" x14ac:dyDescent="0.2">
      <c r="A70" s="43" t="s">
        <v>172</v>
      </c>
      <c r="B70" s="57">
        <v>10.1</v>
      </c>
      <c r="C70" s="43" t="str">
        <f>VLOOKUP(B70,tblNational_HCF[[Code]:[Description]],2,0)</f>
        <v>There are national water resource management institutions in place and able to undertake their mandated functions for water resource management as it pertains to potable water supply (catchment authorities and river basin authorities) and sanitation for HCFs.</v>
      </c>
      <c r="D70" s="41"/>
    </row>
    <row r="71" spans="1:4" ht="50" hidden="1" customHeight="1" x14ac:dyDescent="0.2">
      <c r="A71" s="43" t="s">
        <v>172</v>
      </c>
      <c r="B71" s="57">
        <v>10.199999999999999</v>
      </c>
      <c r="C71" s="43" t="e">
        <f>_xlfn.XLOOKUP(B71,#REF!,#REF!,"",0)</f>
        <v>#REF!</v>
      </c>
      <c r="D71" s="41"/>
    </row>
    <row r="72" spans="1:4" ht="50" hidden="1" customHeight="1" x14ac:dyDescent="0.2">
      <c r="A72" s="43" t="s">
        <v>172</v>
      </c>
      <c r="B72" s="57">
        <v>10.3</v>
      </c>
      <c r="C72" s="43" t="e">
        <f>_xlfn.XLOOKUP(B72,#REF!,#REF!,"",0)</f>
        <v>#REF!</v>
      </c>
      <c r="D72" s="41"/>
    </row>
    <row r="73" spans="1:4" ht="50" hidden="1" customHeight="1" x14ac:dyDescent="0.2">
      <c r="A73" s="43" t="s">
        <v>172</v>
      </c>
      <c r="B73" s="57">
        <v>10.4</v>
      </c>
      <c r="C73" s="43" t="e">
        <f>_xlfn.XLOOKUP(B73,#REF!,#REF!,"",0)</f>
        <v>#REF!</v>
      </c>
      <c r="D73" s="41"/>
    </row>
    <row r="74" spans="1:4" ht="65" hidden="1" customHeight="1" x14ac:dyDescent="0.2">
      <c r="A74" s="43" t="s">
        <v>172</v>
      </c>
      <c r="B74" s="57">
        <v>10.5</v>
      </c>
      <c r="C74" s="43" t="e">
        <f>_xlfn.XLOOKUP(B74,#REF!,#REF!,"",0)</f>
        <v>#REF!</v>
      </c>
      <c r="D74" s="41"/>
    </row>
  </sheetData>
  <sheetProtection algorithmName="SHA-512" hashValue="EOE0cCGmJs3wHbASBGh1K9yUokOy1oszOZKL736DFuIe+EKRzPQ6QVYs/dTjEQNPTwxrkEco1M/+urkdJANeIw==" saltValue="Ua3jmfs+T0/7tAK5qXyd+w==" spinCount="100000" sheet="1" objects="1" scenarios="1" formatCells="0" formatColumns="0" formatRows="0" autoFilter="0"/>
  <autoFilter ref="A2:D72" xr:uid="{00000000-0009-0000-0000-00000C000000}"/>
  <pageMargins left="0.70866141732283472" right="0.70866141732283472" top="0.74803149606299213" bottom="0.74803149606299213" header="0.31496062992125984" footer="0.31496062992125984"/>
  <pageSetup paperSize="9" scale="51" fitToHeight="0" orientation="portrait" r:id="rId1"/>
  <headerFooter>
    <oddFooter xml:space="preserve">&amp;L&amp;F&amp;C&amp;A&amp;RPage &amp;P of &amp;N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FBD09D8ADD0843B149FFBF57143481" ma:contentTypeVersion="19" ma:contentTypeDescription="Create a new document." ma:contentTypeScope="" ma:versionID="9bb1e1b521feb028f31b28fccfea3ad0">
  <xsd:schema xmlns:xsd="http://www.w3.org/2001/XMLSchema" xmlns:xs="http://www.w3.org/2001/XMLSchema" xmlns:p="http://schemas.microsoft.com/office/2006/metadata/properties" xmlns:ns1="http://schemas.microsoft.com/sharepoint/v3" xmlns:ns2="0dccc76a-9512-4b22-9f76-9a8f4ae9bb81" xmlns:ns3="950288f1-a53a-4055-83da-9d9f2ff61f0a" targetNamespace="http://schemas.microsoft.com/office/2006/metadata/properties" ma:root="true" ma:fieldsID="555659c4a2e1974419dad331c84ddffd" ns1:_="" ns2:_="" ns3:_="">
    <xsd:import namespace="http://schemas.microsoft.com/sharepoint/v3"/>
    <xsd:import namespace="0dccc76a-9512-4b22-9f76-9a8f4ae9bb81"/>
    <xsd:import namespace="950288f1-a53a-4055-83da-9d9f2ff61f0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Location" minOccurs="0"/>
                <xsd:element ref="ns2:MediaServiceSearchProperties" minOccurs="0"/>
                <xsd:element ref="ns2:MediaServiceObjectDetectorVersion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ccc76a-9512-4b22-9f76-9a8f4ae9bb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e83bbb5-db0d-49e0-93d3-6afa06249b03"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0288f1-a53a-4055-83da-9d9f2ff61f0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s q m i d = " 1 f c a 7 5 f 5 - e 7 1 2 - 4 9 d c - 9 f a 0 - 7 9 9 3 e b 8 f b d 7 a "   x m l n s = " h t t p : / / s c h e m a s . m i c r o s o f t . c o m / D a t a M a s h u p " > A A A A A B Y D A A B Q S w M E F A A C A A g A d H N k 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B 0 c 2 R 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H N k W C i K R 7 g O A A A A E Q A A A B M A H A B G b 3 J t d W x h c y 9 T Z W N 0 a W 9 u M S 5 t I K I Y A C i g F A A A A A A A A A A A A A A A A A A A A A A A A A A A A C t O T S 7 J z M 9 T C I b Q h t Y A U E s B A i 0 A F A A C A A g A d H N k W E d m l i W m A A A A 9 g A A A B I A A A A A A A A A A A A A A A A A A A A A A E N v b m Z p Z y 9 Q Y W N r Y W d l L n h t b F B L A Q I t A B Q A A g A I A H R z Z F g P y u m r p A A A A O k A A A A T A A A A A A A A A A A A A A A A A P I A A A B b Q 2 9 u d G V u d F 9 U e X B l c 1 0 u e G 1 s U E s B A i 0 A F A A C A A g A d H N k 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M U l k c A N j B H p P L 9 1 N F Q 4 L w A A A A A A g A A A A A A E G Y A A A A B A A A g A A A A 9 G E G X 3 k X m E H B X E U f X f J U F H z q p y L X P k j 3 F U D 3 0 3 8 b I j o A A A A A D o A A A A A C A A A g A A A A O S f 6 E J n a y r o q Y M r g c 7 w Z I 9 0 9 E O + e Q V s S q 9 2 r n L d H r 4 1 Q A A A A M 9 9 G u g Y V / v n 7 D w s T x 2 l t S K A X b k l n v j / X j B y 6 R f / C 6 4 8 / D L c V L + 5 Q d X S 8 1 J E p L y 5 + O 5 7 A p o Y / n s + j e U b R M J h L Y X w u D k n a r h G Y s B 7 a Z Y 1 Y d i R A A A A A O + 2 N E v o V d f x 5 u F S N B 6 6 I E c E p F H D N p D E T s T s d 8 D I b i 3 P 7 v p 1 n 3 X m i 9 q d k X B H E U G a 4 9 1 U q U 9 a X z V n J + n Q o E b x 5 H w = = < / D a t a M a s h u p > 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dccc76a-9512-4b22-9f76-9a8f4ae9bb81">
      <Terms xmlns="http://schemas.microsoft.com/office/infopath/2007/PartnerControls"/>
    </lcf76f155ced4ddcb4097134ff3c332f>
    <SharedWithUsers xmlns="950288f1-a53a-4055-83da-9d9f2ff61f0a">
      <UserInfo>
        <DisplayName>Arjen Naafs</DisplayName>
        <AccountId>86</AccountId>
        <AccountType/>
      </UserInfo>
      <UserInfo>
        <DisplayName>Angela Huston</DisplayName>
        <AccountId>28</AccountId>
        <AccountType/>
      </UserInfo>
      <UserInfo>
        <DisplayName>Nana Yaa Korankyewa-Ayim</DisplayName>
        <AccountId>137</AccountId>
        <AccountType/>
      </UserInfo>
      <UserInfo>
        <DisplayName>Paul Hutchings</DisplayName>
        <AccountId>27</AccountId>
        <AccountType/>
      </UserInfo>
      <UserInfo>
        <DisplayName>Lauren D'Mello-Guyett</DisplayName>
        <AccountId>117</AccountId>
        <AccountType/>
      </UserInfo>
      <UserInfo>
        <DisplayName>Marieke Adank</DisplayName>
        <AccountId>174</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92E575-F5C9-4899-9003-AD1E24EF5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ccc76a-9512-4b22-9f76-9a8f4ae9bb81"/>
    <ds:schemaRef ds:uri="950288f1-a53a-4055-83da-9d9f2ff61f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7084B6-CFF1-40E8-B880-515011BB45A4}">
  <ds:schemaRefs>
    <ds:schemaRef ds:uri="http://schemas.microsoft.com/DataMashup"/>
  </ds:schemaRefs>
</ds:datastoreItem>
</file>

<file path=customXml/itemProps3.xml><?xml version="1.0" encoding="utf-8"?>
<ds:datastoreItem xmlns:ds="http://schemas.openxmlformats.org/officeDocument/2006/customXml" ds:itemID="{02D1C356-D8D0-4BE8-840A-4BE86629252E}">
  <ds:schemaRefs>
    <ds:schemaRef ds:uri="http://schemas.microsoft.com/office/2006/metadata/properties"/>
    <ds:schemaRef ds:uri="http://schemas.microsoft.com/office/infopath/2007/PartnerControls"/>
    <ds:schemaRef ds:uri="http://schemas.microsoft.com/sharepoint/v3"/>
    <ds:schemaRef ds:uri="0dccc76a-9512-4b22-9f76-9a8f4ae9bb81"/>
    <ds:schemaRef ds:uri="950288f1-a53a-4055-83da-9d9f2ff61f0a"/>
  </ds:schemaRefs>
</ds:datastoreItem>
</file>

<file path=customXml/itemProps4.xml><?xml version="1.0" encoding="utf-8"?>
<ds:datastoreItem xmlns:ds="http://schemas.openxmlformats.org/officeDocument/2006/customXml" ds:itemID="{415E4AF1-FA9A-4571-89E5-95A8AEE010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20</vt:i4>
      </vt:variant>
    </vt:vector>
  </HeadingPairs>
  <TitlesOfParts>
    <vt:vector size="30" baseType="lpstr">
      <vt:lpstr>Guidance</vt:lpstr>
      <vt:lpstr>National Water</vt:lpstr>
      <vt:lpstr>National S&amp;H</vt:lpstr>
      <vt:lpstr>National HCF</vt:lpstr>
      <vt:lpstr>District 1</vt:lpstr>
      <vt:lpstr>BB Dashboard</vt:lpstr>
      <vt:lpstr>Print National Water</vt:lpstr>
      <vt:lpstr>Print National Sanitation</vt:lpstr>
      <vt:lpstr>Print National HCF</vt:lpstr>
      <vt:lpstr>Print District</vt:lpstr>
      <vt:lpstr>category</vt:lpstr>
      <vt:lpstr>'BB Dashboard'!Print_Area</vt:lpstr>
      <vt:lpstr>'District 1'!Print_Area</vt:lpstr>
      <vt:lpstr>Guidance!Print_Area</vt:lpstr>
      <vt:lpstr>'National HCF'!Print_Area</vt:lpstr>
      <vt:lpstr>'National S&amp;H'!Print_Area</vt:lpstr>
      <vt:lpstr>'National Water'!Print_Area</vt:lpstr>
      <vt:lpstr>'Print District'!Print_Area</vt:lpstr>
      <vt:lpstr>'Print National HCF'!Print_Area</vt:lpstr>
      <vt:lpstr>'Print National Sanitation'!Print_Area</vt:lpstr>
      <vt:lpstr>'Print National Water'!Print_Area</vt:lpstr>
      <vt:lpstr>'District 1'!Print_Titles</vt:lpstr>
      <vt:lpstr>'National HCF'!Print_Titles</vt:lpstr>
      <vt:lpstr>'National S&amp;H'!Print_Titles</vt:lpstr>
      <vt:lpstr>'National Water'!Print_Titles</vt:lpstr>
      <vt:lpstr>'Print District'!Print_Titles</vt:lpstr>
      <vt:lpstr>'Print National HCF'!Print_Titles</vt:lpstr>
      <vt:lpstr>'Print National Sanitation'!Print_Titles</vt:lpstr>
      <vt:lpstr>'Print National Water'!Print_Titles</vt:lpstr>
      <vt:lpstr>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Dechan Dalrymple</cp:lastModifiedBy>
  <cp:revision/>
  <dcterms:created xsi:type="dcterms:W3CDTF">2016-08-21T17:51:44Z</dcterms:created>
  <dcterms:modified xsi:type="dcterms:W3CDTF">2026-06-30T15:26:12Z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0x010100B1FBD09D8ADD0843B149FFBF57143481</vt:lpwstr>
  </property>
  <property fmtid="{D5CDD505-2E9C-101B-9397-08002B2CF9AE}" pid="3" name="MediaServiceImageTags">
    <vt:lpwstr/>
  </property>
</Properties>
</file>